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725" activeTab="2"/>
  </bookViews>
  <sheets>
    <sheet name="1. Income Driver Worksheet" sheetId="1" r:id="rId1"/>
    <sheet name="2. Payroll Worksheet" sheetId="2" r:id="rId2"/>
    <sheet name="3. Draft Budget" sheetId="3" r:id="rId3"/>
  </sheets>
  <definedNames>
    <definedName name="_xlnm.Print_Area" localSheetId="0">'1. Income Driver Worksheet'!$A$1:$D$14</definedName>
    <definedName name="_xlnm.Print_Area" localSheetId="1">'2. Payroll Worksheet'!$A$1:$K$27</definedName>
    <definedName name="_xlnm.Print_Area" localSheetId="2">'3. Draft Budget'!$A$2:$J$57</definedName>
    <definedName name="_xlnm.Print_Titles" localSheetId="2">'3. Draft Budget'!$2:$6</definedName>
  </definedNames>
  <calcPr fullCalcOnLoad="1"/>
</workbook>
</file>

<file path=xl/comments1.xml><?xml version="1.0" encoding="utf-8"?>
<comments xmlns="http://schemas.openxmlformats.org/spreadsheetml/2006/main">
  <authors>
    <author>Debbie Wilson</author>
  </authors>
  <commentList>
    <comment ref="A1" authorId="0">
      <text>
        <r>
          <rPr>
            <sz val="8"/>
            <rFont val="Tahoma"/>
            <family val="0"/>
          </rPr>
          <t xml:space="preserve">% Total Income used to apportion shared expenses e.g. Electricity, Rent etc
</t>
        </r>
      </text>
    </comment>
  </commentList>
</comments>
</file>

<file path=xl/sharedStrings.xml><?xml version="1.0" encoding="utf-8"?>
<sst xmlns="http://schemas.openxmlformats.org/spreadsheetml/2006/main" count="167" uniqueCount="144">
  <si>
    <t/>
  </si>
  <si>
    <t>INCOME</t>
  </si>
  <si>
    <t>Interest Received</t>
  </si>
  <si>
    <t>EXPENSES</t>
  </si>
  <si>
    <t>Leave Loading</t>
  </si>
  <si>
    <t>Superannuation</t>
  </si>
  <si>
    <t>Workers' Compensation</t>
  </si>
  <si>
    <t>Staff Development</t>
  </si>
  <si>
    <t>Staff Recruitment</t>
  </si>
  <si>
    <t>Staff Amenities</t>
  </si>
  <si>
    <t>Telephone/Fax</t>
  </si>
  <si>
    <t>Fuels &amp; Oils</t>
  </si>
  <si>
    <t>MV Maintenance &amp; Repairs</t>
  </si>
  <si>
    <t>MV Insurance &amp; Registration</t>
  </si>
  <si>
    <t>Bookkeeping</t>
  </si>
  <si>
    <t>Stationery &amp; Office Supplies</t>
  </si>
  <si>
    <t>Postage</t>
  </si>
  <si>
    <t>Office Equipment &lt;$5000</t>
  </si>
  <si>
    <t>Promotion/Marketing</t>
  </si>
  <si>
    <t>Subscriptions/Membership/Regis</t>
  </si>
  <si>
    <t>Forums/Venue Hire</t>
  </si>
  <si>
    <t>Cleaning</t>
  </si>
  <si>
    <t>Depreciation on Fixed Assets</t>
  </si>
  <si>
    <t>Electricity</t>
  </si>
  <si>
    <t>Insurance</t>
  </si>
  <si>
    <t>Security</t>
  </si>
  <si>
    <t>Waste Disposal</t>
  </si>
  <si>
    <t>Audit</t>
  </si>
  <si>
    <t>Bank Charges</t>
  </si>
  <si>
    <t>IT Support/Internet Service Providor</t>
  </si>
  <si>
    <t>TOTAL INCOME</t>
  </si>
  <si>
    <t>TOTAL EXPENSES</t>
  </si>
  <si>
    <t>NET SURPLUS/DEFICIT</t>
  </si>
  <si>
    <t>Account #</t>
  </si>
  <si>
    <t>Account Description</t>
  </si>
  <si>
    <t>Position</t>
  </si>
  <si>
    <t>Employee</t>
  </si>
  <si>
    <t>Gross Wages</t>
  </si>
  <si>
    <t>TOTALS</t>
  </si>
  <si>
    <t>Hrs P/Fnight</t>
  </si>
  <si>
    <t>Hourly Rate</t>
  </si>
  <si>
    <t>Funding Source</t>
  </si>
  <si>
    <t xml:space="preserve">
Gross Wage Including Provision for Increase </t>
  </si>
  <si>
    <t>Estimated Wage Increase</t>
  </si>
  <si>
    <t>Legend:</t>
  </si>
  <si>
    <t xml:space="preserve">Formulae </t>
  </si>
  <si>
    <t>Entry fields</t>
  </si>
  <si>
    <t>Program</t>
  </si>
  <si>
    <t>% Total Income</t>
  </si>
  <si>
    <t>TOTAL</t>
  </si>
  <si>
    <t>Total Program 
Allocations</t>
  </si>
  <si>
    <t>Check Total</t>
  </si>
  <si>
    <t>Remaining 
to Allocate</t>
  </si>
  <si>
    <t>PROGRAM ALLOCATIONS</t>
  </si>
  <si>
    <t>Entry fields (Add/delete/amend info as necessary)</t>
  </si>
  <si>
    <t>Whole 
of Entity</t>
  </si>
  <si>
    <t>Complete the yellow highlighted cells with estimated Grant Income</t>
  </si>
  <si>
    <t>Projected Income
2010/2011</t>
  </si>
  <si>
    <t>Program 1</t>
  </si>
  <si>
    <t>Program 2</t>
  </si>
  <si>
    <t>Program 3</t>
  </si>
  <si>
    <t>Program 4</t>
  </si>
  <si>
    <t>ESTIMATED WAGE/SUPER EXPENSES 2010/2011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</si>
  <si>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</si>
  <si>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</si>
  <si>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</si>
  <si>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</si>
  <si>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</si>
  <si>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</si>
  <si>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</si>
  <si>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</si>
  <si>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</si>
  <si>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(The contents of the yellow cells in this spreadsheet will inform/populate the 'Draft Budget' Worksheet)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</si>
  <si>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</si>
  <si>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</si>
  <si>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</si>
  <si>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</si>
  <si>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</si>
  <si>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</si>
  <si>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</si>
  <si>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</si>
  <si>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</si>
  <si>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PROGRAM 1</t>
  </si>
  <si>
    <t>PROGRAM 2</t>
  </si>
  <si>
    <t>PROGRAM 3</t>
  </si>
  <si>
    <t>PROGRAM 4</t>
  </si>
  <si>
    <t>Grant Income Program 1</t>
  </si>
  <si>
    <t>Grant Income Program 2</t>
  </si>
  <si>
    <t>Grant Income Program 3</t>
  </si>
  <si>
    <t>Grant Income Program 4</t>
  </si>
  <si>
    <t>INCOME DRIVER CALCULATIONS (GST Exclusive Values)</t>
  </si>
  <si>
    <t>Wages &amp; Salaries</t>
  </si>
  <si>
    <t>41020</t>
  </si>
  <si>
    <t>43110</t>
  </si>
  <si>
    <t>43120</t>
  </si>
  <si>
    <t>43130</t>
  </si>
  <si>
    <t>43140</t>
  </si>
  <si>
    <t xml:space="preserve">Organisation Name: </t>
  </si>
  <si>
    <t>2010/2011 Draft Budget</t>
  </si>
  <si>
    <t>Version Number:</t>
  </si>
  <si>
    <t>Last Update:</t>
  </si>
  <si>
    <t>1</t>
  </si>
  <si>
    <t>15/05/2010</t>
  </si>
  <si>
    <t>61110</t>
  </si>
  <si>
    <t>61120</t>
  </si>
  <si>
    <t>61130</t>
  </si>
  <si>
    <t>61140</t>
  </si>
  <si>
    <t>61150</t>
  </si>
  <si>
    <t>Travel &amp; Accommodation</t>
  </si>
  <si>
    <t>61160</t>
  </si>
  <si>
    <t>61170</t>
  </si>
  <si>
    <t>62010</t>
  </si>
  <si>
    <t>Motor Vehicle Leases</t>
  </si>
  <si>
    <t>62020</t>
  </si>
  <si>
    <t>62030</t>
  </si>
  <si>
    <t>63010</t>
  </si>
  <si>
    <t>63020</t>
  </si>
  <si>
    <t>63030</t>
  </si>
  <si>
    <t>63040</t>
  </si>
  <si>
    <t>64020</t>
  </si>
  <si>
    <t>64030</t>
  </si>
  <si>
    <t>64040</t>
  </si>
  <si>
    <t>64050</t>
  </si>
  <si>
    <t>64060</t>
  </si>
  <si>
    <t xml:space="preserve">Printing/Publications </t>
  </si>
  <si>
    <t>General Office Expenses</t>
  </si>
  <si>
    <t>64070</t>
  </si>
  <si>
    <t>64080</t>
  </si>
  <si>
    <t>64090</t>
  </si>
  <si>
    <t>65010</t>
  </si>
  <si>
    <t>65020</t>
  </si>
  <si>
    <t>65030</t>
  </si>
  <si>
    <t>65040</t>
  </si>
  <si>
    <t>65060</t>
  </si>
  <si>
    <t>65070</t>
  </si>
  <si>
    <t>66010</t>
  </si>
  <si>
    <t>66030</t>
  </si>
  <si>
    <t>66040</t>
  </si>
  <si>
    <t>Formulae (extracted from either Income Driver Worksheet or Payroll Worksheet)</t>
  </si>
  <si>
    <t>Gross Wages
(Including Leave Loading)</t>
  </si>
  <si>
    <t>Employment Status 
(Full Time/PPT/Casual)</t>
  </si>
  <si>
    <t>Employment Status List</t>
  </si>
  <si>
    <t>Casual</t>
  </si>
  <si>
    <t>Full Time/PPT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</si>
</sst>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;[Red]\-&quot;$&quot;#,##0.0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"/>
    <numFmt numFmtId="176" formatCode="d/mm/yy;@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[$-C09]dddd\,\ d\ mmmm\ yyyy"/>
    <numFmt numFmtId="180" formatCode="_-* #,##0.000_-;\-* #,##0.000_-;_-* &quot;-&quot;???_-;_-@_-"/>
    <numFmt numFmtId="181" formatCode="_-* #,##0.0_-;\-* #,##0.0_-;_-* &quot;-&quot;?_-;_-@_-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9"/>
      <color indexed="16"/>
      <name val="Times New Roman"/>
      <family val="1"/>
    </font>
    <font>
      <b/>
      <sz val="9"/>
      <name val="Arial"/>
      <family val="2"/>
    </font>
    <font>
      <sz val="8"/>
      <name val="Tahoma"/>
      <family val="0"/>
    </font>
    <font>
      <b/>
      <sz val="10"/>
      <color indexed="9"/>
      <name val="Arial"/>
      <family val="2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 style="hair"/>
    </border>
    <border>
      <left>
        <color indexed="63"/>
      </left>
      <right style="hair"/>
      <top style="thick"/>
      <bottom style="medium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thick"/>
      <bottom style="medium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hair"/>
      <bottom style="thick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hair"/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thick"/>
      <bottom style="thick"/>
    </border>
    <border>
      <left style="double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ck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double"/>
    </border>
    <border>
      <left style="thick"/>
      <right>
        <color indexed="63"/>
      </right>
      <top style="thick"/>
      <bottom style="thick"/>
    </border>
    <border>
      <left style="hair"/>
      <right style="double"/>
      <top style="thick"/>
      <bottom style="thick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>
        <color indexed="63"/>
      </top>
      <bottom style="hair"/>
    </border>
    <border>
      <left style="thick"/>
      <right>
        <color indexed="63"/>
      </right>
      <top style="double"/>
      <bottom style="double"/>
    </border>
    <border>
      <left style="thick"/>
      <right style="hair"/>
      <top style="double"/>
      <bottom style="double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ck"/>
      <right style="hair"/>
      <top style="thick"/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 style="thick"/>
      <bottom style="double"/>
    </border>
    <border>
      <left style="hair"/>
      <right>
        <color indexed="63"/>
      </right>
      <top style="thick"/>
      <bottom style="double"/>
    </border>
    <border>
      <left style="hair"/>
      <right style="thick"/>
      <top style="thick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double"/>
      <top style="thick"/>
      <bottom style="hair"/>
    </border>
    <border>
      <left style="hair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hair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16" borderId="0" xfId="0" applyFill="1" applyBorder="1" applyAlignment="1">
      <alignment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170" fontId="0" fillId="0" borderId="0" xfId="44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1" fillId="0" borderId="11" xfId="44" applyFont="1" applyBorder="1" applyAlignment="1">
      <alignment horizontal="center"/>
    </xf>
    <xf numFmtId="170" fontId="1" fillId="0" borderId="12" xfId="44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14" borderId="16" xfId="0" applyFill="1" applyBorder="1" applyAlignment="1">
      <alignment/>
    </xf>
    <xf numFmtId="170" fontId="0" fillId="14" borderId="16" xfId="44" applyFont="1" applyFill="1" applyBorder="1" applyAlignment="1">
      <alignment/>
    </xf>
    <xf numFmtId="49" fontId="9" fillId="16" borderId="17" xfId="0" applyNumberFormat="1" applyFont="1" applyFill="1" applyBorder="1" applyAlignment="1">
      <alignment vertical="top"/>
    </xf>
    <xf numFmtId="49" fontId="7" fillId="16" borderId="17" xfId="0" applyNumberFormat="1" applyFont="1" applyFill="1" applyBorder="1" applyAlignment="1">
      <alignment vertical="top"/>
    </xf>
    <xf numFmtId="49" fontId="6" fillId="18" borderId="18" xfId="0" applyNumberFormat="1" applyFont="1" applyFill="1" applyBorder="1" applyAlignment="1">
      <alignment/>
    </xf>
    <xf numFmtId="6" fontId="4" fillId="16" borderId="0" xfId="0" applyNumberFormat="1" applyFont="1" applyFill="1" applyBorder="1" applyAlignment="1">
      <alignment horizontal="justify"/>
    </xf>
    <xf numFmtId="6" fontId="4" fillId="0" borderId="0" xfId="0" applyNumberFormat="1" applyFont="1" applyAlignment="1">
      <alignment horizontal="justify"/>
    </xf>
    <xf numFmtId="170" fontId="1" fillId="0" borderId="19" xfId="44" applyFont="1" applyBorder="1" applyAlignment="1">
      <alignment horizontal="center" wrapText="1"/>
    </xf>
    <xf numFmtId="0" fontId="0" fillId="19" borderId="0" xfId="0" applyFill="1" applyAlignment="1">
      <alignment/>
    </xf>
    <xf numFmtId="0" fontId="0" fillId="14" borderId="0" xfId="0" applyFill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9" fontId="1" fillId="0" borderId="22" xfId="57" applyFont="1" applyBorder="1" applyAlignment="1">
      <alignment horizontal="center"/>
    </xf>
    <xf numFmtId="0" fontId="1" fillId="0" borderId="23" xfId="0" applyFont="1" applyBorder="1" applyAlignment="1">
      <alignment/>
    </xf>
    <xf numFmtId="49" fontId="12" fillId="20" borderId="0" xfId="0" applyNumberFormat="1" applyFont="1" applyFill="1" applyBorder="1" applyAlignment="1">
      <alignment horizontal="center"/>
    </xf>
    <xf numFmtId="6" fontId="5" fillId="18" borderId="24" xfId="0" applyNumberFormat="1" applyFont="1" applyFill="1" applyBorder="1" applyAlignment="1">
      <alignment horizontal="center"/>
    </xf>
    <xf numFmtId="6" fontId="5" fillId="18" borderId="24" xfId="0" applyNumberFormat="1" applyFont="1" applyFill="1" applyBorder="1" applyAlignment="1">
      <alignment horizontal="center" wrapText="1"/>
    </xf>
    <xf numFmtId="174" fontId="7" fillId="0" borderId="16" xfId="44" applyNumberFormat="1" applyFont="1" applyBorder="1" applyAlignment="1">
      <alignment vertical="top" wrapText="1"/>
    </xf>
    <xf numFmtId="174" fontId="4" fillId="0" borderId="16" xfId="44" applyNumberFormat="1" applyFont="1" applyBorder="1" applyAlignment="1">
      <alignment vertical="top" wrapText="1"/>
    </xf>
    <xf numFmtId="49" fontId="5" fillId="21" borderId="25" xfId="0" applyNumberFormat="1" applyFont="1" applyFill="1" applyBorder="1" applyAlignment="1">
      <alignment horizontal="center"/>
    </xf>
    <xf numFmtId="174" fontId="6" fillId="18" borderId="26" xfId="44" applyNumberFormat="1" applyFont="1" applyFill="1" applyBorder="1" applyAlignment="1">
      <alignment horizontal="justify"/>
    </xf>
    <xf numFmtId="174" fontId="7" fillId="0" borderId="14" xfId="44" applyNumberFormat="1" applyFont="1" applyBorder="1" applyAlignment="1">
      <alignment vertical="top" wrapText="1"/>
    </xf>
    <xf numFmtId="49" fontId="8" fillId="20" borderId="27" xfId="0" applyNumberFormat="1" applyFont="1" applyFill="1" applyBorder="1" applyAlignment="1">
      <alignment/>
    </xf>
    <xf numFmtId="49" fontId="7" fillId="16" borderId="28" xfId="0" applyNumberFormat="1" applyFont="1" applyFill="1" applyBorder="1" applyAlignment="1">
      <alignment vertical="top"/>
    </xf>
    <xf numFmtId="174" fontId="4" fillId="0" borderId="29" xfId="44" applyNumberFormat="1" applyFont="1" applyBorder="1" applyAlignment="1">
      <alignment/>
    </xf>
    <xf numFmtId="174" fontId="4" fillId="0" borderId="30" xfId="44" applyNumberFormat="1" applyFont="1" applyBorder="1" applyAlignment="1">
      <alignment/>
    </xf>
    <xf numFmtId="49" fontId="7" fillId="16" borderId="25" xfId="0" applyNumberFormat="1" applyFont="1" applyFill="1" applyBorder="1" applyAlignment="1">
      <alignment vertical="top"/>
    </xf>
    <xf numFmtId="174" fontId="4" fillId="0" borderId="13" xfId="44" applyNumberFormat="1" applyFont="1" applyBorder="1" applyAlignment="1">
      <alignment/>
    </xf>
    <xf numFmtId="174" fontId="4" fillId="0" borderId="24" xfId="44" applyNumberFormat="1" applyFont="1" applyBorder="1" applyAlignment="1">
      <alignment/>
    </xf>
    <xf numFmtId="49" fontId="9" fillId="16" borderId="31" xfId="0" applyNumberFormat="1" applyFont="1" applyFill="1" applyBorder="1" applyAlignment="1">
      <alignment vertical="top"/>
    </xf>
    <xf numFmtId="49" fontId="9" fillId="16" borderId="32" xfId="0" applyNumberFormat="1" applyFont="1" applyFill="1" applyBorder="1" applyAlignment="1">
      <alignment vertical="top"/>
    </xf>
    <xf numFmtId="174" fontId="14" fillId="0" borderId="33" xfId="44" applyNumberFormat="1" applyFont="1" applyBorder="1" applyAlignment="1">
      <alignment/>
    </xf>
    <xf numFmtId="174" fontId="14" fillId="0" borderId="34" xfId="44" applyNumberFormat="1" applyFont="1" applyBorder="1" applyAlignment="1">
      <alignment/>
    </xf>
    <xf numFmtId="49" fontId="5" fillId="21" borderId="35" xfId="0" applyNumberFormat="1" applyFont="1" applyFill="1" applyBorder="1" applyAlignment="1">
      <alignment horizontal="center"/>
    </xf>
    <xf numFmtId="49" fontId="9" fillId="16" borderId="36" xfId="0" applyNumberFormat="1" applyFont="1" applyFill="1" applyBorder="1" applyAlignment="1">
      <alignment vertical="top"/>
    </xf>
    <xf numFmtId="49" fontId="7" fillId="16" borderId="36" xfId="0" applyNumberFormat="1" applyFont="1" applyFill="1" applyBorder="1" applyAlignment="1">
      <alignment vertical="top"/>
    </xf>
    <xf numFmtId="49" fontId="7" fillId="16" borderId="37" xfId="0" applyNumberFormat="1" applyFont="1" applyFill="1" applyBorder="1" applyAlignment="1">
      <alignment vertical="top"/>
    </xf>
    <xf numFmtId="49" fontId="9" fillId="16" borderId="38" xfId="0" applyNumberFormat="1" applyFont="1" applyFill="1" applyBorder="1" applyAlignment="1">
      <alignment vertical="top"/>
    </xf>
    <xf numFmtId="49" fontId="9" fillId="16" borderId="39" xfId="0" applyNumberFormat="1" applyFont="1" applyFill="1" applyBorder="1" applyAlignment="1">
      <alignment vertical="top"/>
    </xf>
    <xf numFmtId="49" fontId="9" fillId="16" borderId="35" xfId="0" applyNumberFormat="1" applyFont="1" applyFill="1" applyBorder="1" applyAlignment="1">
      <alignment vertical="top"/>
    </xf>
    <xf numFmtId="49" fontId="7" fillId="16" borderId="35" xfId="0" applyNumberFormat="1" applyFont="1" applyFill="1" applyBorder="1" applyAlignment="1">
      <alignment vertical="top"/>
    </xf>
    <xf numFmtId="49" fontId="6" fillId="18" borderId="26" xfId="0" applyNumberFormat="1" applyFont="1" applyFill="1" applyBorder="1" applyAlignment="1">
      <alignment/>
    </xf>
    <xf numFmtId="174" fontId="7" fillId="16" borderId="40" xfId="44" applyNumberFormat="1" applyFont="1" applyFill="1" applyBorder="1" applyAlignment="1">
      <alignment vertical="top" wrapText="1"/>
    </xf>
    <xf numFmtId="174" fontId="7" fillId="16" borderId="41" xfId="44" applyNumberFormat="1" applyFont="1" applyFill="1" applyBorder="1" applyAlignment="1">
      <alignment vertical="top" wrapText="1"/>
    </xf>
    <xf numFmtId="174" fontId="9" fillId="16" borderId="42" xfId="44" applyNumberFormat="1" applyFont="1" applyFill="1" applyBorder="1" applyAlignment="1">
      <alignment vertical="top" wrapText="1"/>
    </xf>
    <xf numFmtId="174" fontId="7" fillId="16" borderId="43" xfId="44" applyNumberFormat="1" applyFont="1" applyFill="1" applyBorder="1" applyAlignment="1">
      <alignment vertical="top" wrapText="1"/>
    </xf>
    <xf numFmtId="174" fontId="7" fillId="19" borderId="40" xfId="44" applyNumberFormat="1" applyFont="1" applyFill="1" applyBorder="1" applyAlignment="1">
      <alignment vertical="top" wrapText="1"/>
    </xf>
    <xf numFmtId="174" fontId="6" fillId="18" borderId="44" xfId="44" applyNumberFormat="1" applyFont="1" applyFill="1" applyBorder="1" applyAlignment="1">
      <alignment horizontal="justify"/>
    </xf>
    <xf numFmtId="174" fontId="14" fillId="0" borderId="24" xfId="44" applyNumberFormat="1" applyFont="1" applyBorder="1" applyAlignment="1">
      <alignment/>
    </xf>
    <xf numFmtId="0" fontId="14" fillId="0" borderId="0" xfId="0" applyFont="1" applyAlignment="1">
      <alignment horizontal="center"/>
    </xf>
    <xf numFmtId="174" fontId="14" fillId="0" borderId="24" xfId="44" applyNumberFormat="1" applyFont="1" applyBorder="1" applyAlignment="1">
      <alignment horizontal="center"/>
    </xf>
    <xf numFmtId="174" fontId="15" fillId="18" borderId="26" xfId="44" applyNumberFormat="1" applyFont="1" applyFill="1" applyBorder="1" applyAlignment="1">
      <alignment horizontal="center"/>
    </xf>
    <xf numFmtId="174" fontId="16" fillId="0" borderId="16" xfId="44" applyNumberFormat="1" applyFont="1" applyBorder="1" applyAlignment="1">
      <alignment horizontal="center" vertical="top" wrapText="1"/>
    </xf>
    <xf numFmtId="174" fontId="7" fillId="14" borderId="40" xfId="44" applyNumberFormat="1" applyFont="1" applyFill="1" applyBorder="1" applyAlignment="1">
      <alignment vertical="top" wrapText="1"/>
    </xf>
    <xf numFmtId="174" fontId="4" fillId="14" borderId="14" xfId="44" applyNumberFormat="1" applyFont="1" applyFill="1" applyBorder="1" applyAlignment="1">
      <alignment/>
    </xf>
    <xf numFmtId="174" fontId="4" fillId="14" borderId="16" xfId="44" applyNumberFormat="1" applyFont="1" applyFill="1" applyBorder="1" applyAlignment="1">
      <alignment/>
    </xf>
    <xf numFmtId="174" fontId="4" fillId="14" borderId="29" xfId="44" applyNumberFormat="1" applyFont="1" applyFill="1" applyBorder="1" applyAlignment="1">
      <alignment/>
    </xf>
    <xf numFmtId="174" fontId="4" fillId="14" borderId="30" xfId="44" applyNumberFormat="1" applyFont="1" applyFill="1" applyBorder="1" applyAlignment="1">
      <alignment/>
    </xf>
    <xf numFmtId="174" fontId="4" fillId="19" borderId="14" xfId="44" applyNumberFormat="1" applyFont="1" applyFill="1" applyBorder="1" applyAlignment="1">
      <alignment/>
    </xf>
    <xf numFmtId="174" fontId="4" fillId="19" borderId="16" xfId="44" applyNumberFormat="1" applyFont="1" applyFill="1" applyBorder="1" applyAlignment="1">
      <alignment/>
    </xf>
    <xf numFmtId="174" fontId="9" fillId="19" borderId="45" xfId="44" applyNumberFormat="1" applyFont="1" applyFill="1" applyBorder="1" applyAlignment="1">
      <alignment vertical="top" wrapText="1"/>
    </xf>
    <xf numFmtId="174" fontId="14" fillId="19" borderId="20" xfId="44" applyNumberFormat="1" applyFont="1" applyFill="1" applyBorder="1" applyAlignment="1">
      <alignment/>
    </xf>
    <xf numFmtId="174" fontId="14" fillId="19" borderId="21" xfId="44" applyNumberFormat="1" applyFont="1" applyFill="1" applyBorder="1" applyAlignment="1">
      <alignment/>
    </xf>
    <xf numFmtId="174" fontId="16" fillId="19" borderId="21" xfId="44" applyNumberFormat="1" applyFont="1" applyFill="1" applyBorder="1" applyAlignment="1">
      <alignment horizontal="center"/>
    </xf>
    <xf numFmtId="174" fontId="14" fillId="19" borderId="46" xfId="44" applyNumberFormat="1" applyFont="1" applyFill="1" applyBorder="1" applyAlignment="1">
      <alignment/>
    </xf>
    <xf numFmtId="174" fontId="4" fillId="19" borderId="47" xfId="44" applyNumberFormat="1" applyFont="1" applyFill="1" applyBorder="1" applyAlignment="1">
      <alignment/>
    </xf>
    <xf numFmtId="174" fontId="4" fillId="19" borderId="48" xfId="44" applyNumberFormat="1" applyFont="1" applyFill="1" applyBorder="1" applyAlignment="1">
      <alignment/>
    </xf>
    <xf numFmtId="174" fontId="14" fillId="19" borderId="49" xfId="44" applyNumberFormat="1" applyFont="1" applyFill="1" applyBorder="1" applyAlignment="1">
      <alignment/>
    </xf>
    <xf numFmtId="174" fontId="4" fillId="0" borderId="47" xfId="44" applyNumberFormat="1" applyFont="1" applyFill="1" applyBorder="1" applyAlignment="1">
      <alignment vertical="top" wrapText="1"/>
    </xf>
    <xf numFmtId="174" fontId="16" fillId="19" borderId="16" xfId="44" applyNumberFormat="1" applyFont="1" applyFill="1" applyBorder="1" applyAlignment="1">
      <alignment horizontal="center"/>
    </xf>
    <xf numFmtId="174" fontId="14" fillId="19" borderId="16" xfId="44" applyNumberFormat="1" applyFont="1" applyFill="1" applyBorder="1" applyAlignment="1">
      <alignment/>
    </xf>
    <xf numFmtId="174" fontId="14" fillId="19" borderId="30" xfId="44" applyNumberFormat="1" applyFont="1" applyFill="1" applyBorder="1" applyAlignment="1">
      <alignment/>
    </xf>
    <xf numFmtId="174" fontId="16" fillId="19" borderId="30" xfId="44" applyNumberFormat="1" applyFont="1" applyFill="1" applyBorder="1" applyAlignment="1">
      <alignment horizontal="center"/>
    </xf>
    <xf numFmtId="174" fontId="14" fillId="19" borderId="50" xfId="44" applyNumberFormat="1" applyFont="1" applyFill="1" applyBorder="1" applyAlignment="1">
      <alignment/>
    </xf>
    <xf numFmtId="174" fontId="16" fillId="19" borderId="50" xfId="44" applyNumberFormat="1" applyFont="1" applyFill="1" applyBorder="1" applyAlignment="1">
      <alignment horizontal="center"/>
    </xf>
    <xf numFmtId="174" fontId="14" fillId="0" borderId="30" xfId="44" applyNumberFormat="1" applyFont="1" applyFill="1" applyBorder="1" applyAlignment="1">
      <alignment/>
    </xf>
    <xf numFmtId="174" fontId="16" fillId="0" borderId="30" xfId="44" applyNumberFormat="1" applyFont="1" applyFill="1" applyBorder="1" applyAlignment="1">
      <alignment horizontal="center"/>
    </xf>
    <xf numFmtId="174" fontId="4" fillId="0" borderId="48" xfId="44" applyNumberFormat="1" applyFont="1" applyFill="1" applyBorder="1" applyAlignment="1">
      <alignment/>
    </xf>
    <xf numFmtId="174" fontId="4" fillId="0" borderId="51" xfId="44" applyNumberFormat="1" applyFont="1" applyFill="1" applyBorder="1" applyAlignment="1">
      <alignment/>
    </xf>
    <xf numFmtId="174" fontId="9" fillId="19" borderId="52" xfId="44" applyNumberFormat="1" applyFont="1" applyFill="1" applyBorder="1" applyAlignment="1">
      <alignment vertical="top" wrapText="1"/>
    </xf>
    <xf numFmtId="174" fontId="14" fillId="19" borderId="53" xfId="44" applyNumberFormat="1" applyFont="1" applyFill="1" applyBorder="1" applyAlignment="1">
      <alignment/>
    </xf>
    <xf numFmtId="49" fontId="9" fillId="0" borderId="54" xfId="0" applyNumberFormat="1" applyFont="1" applyFill="1" applyBorder="1" applyAlignment="1">
      <alignment vertical="top"/>
    </xf>
    <xf numFmtId="49" fontId="9" fillId="0" borderId="55" xfId="0" applyNumberFormat="1" applyFont="1" applyFill="1" applyBorder="1" applyAlignment="1">
      <alignment vertical="top"/>
    </xf>
    <xf numFmtId="174" fontId="4" fillId="16" borderId="0" xfId="44" applyNumberFormat="1" applyFont="1" applyFill="1" applyBorder="1" applyAlignment="1">
      <alignment/>
    </xf>
    <xf numFmtId="174" fontId="4" fillId="0" borderId="0" xfId="44" applyNumberFormat="1" applyFont="1" applyAlignment="1">
      <alignment/>
    </xf>
    <xf numFmtId="174" fontId="12" fillId="20" borderId="0" xfId="44" applyNumberFormat="1" applyFont="1" applyFill="1" applyBorder="1" applyAlignment="1">
      <alignment horizontal="center"/>
    </xf>
    <xf numFmtId="174" fontId="5" fillId="18" borderId="56" xfId="44" applyNumberFormat="1" applyFont="1" applyFill="1" applyBorder="1" applyAlignment="1">
      <alignment horizontal="center" wrapText="1"/>
    </xf>
    <xf numFmtId="174" fontId="5" fillId="18" borderId="24" xfId="44" applyNumberFormat="1" applyFont="1" applyFill="1" applyBorder="1" applyAlignment="1">
      <alignment horizontal="center" wrapText="1"/>
    </xf>
    <xf numFmtId="174" fontId="5" fillId="18" borderId="24" xfId="44" applyNumberFormat="1" applyFont="1" applyFill="1" applyBorder="1" applyAlignment="1">
      <alignment horizontal="center"/>
    </xf>
    <xf numFmtId="170" fontId="0" fillId="19" borderId="24" xfId="44" applyFont="1" applyFill="1" applyBorder="1" applyAlignment="1">
      <alignment/>
    </xf>
    <xf numFmtId="9" fontId="1" fillId="19" borderId="57" xfId="57" applyFont="1" applyFill="1" applyBorder="1" applyAlignment="1">
      <alignment/>
    </xf>
    <xf numFmtId="9" fontId="1" fillId="19" borderId="58" xfId="57" applyFont="1" applyFill="1" applyBorder="1" applyAlignment="1">
      <alignment/>
    </xf>
    <xf numFmtId="170" fontId="1" fillId="19" borderId="59" xfId="44" applyFont="1" applyFill="1" applyBorder="1" applyAlignment="1">
      <alignment/>
    </xf>
    <xf numFmtId="9" fontId="1" fillId="19" borderId="60" xfId="57" applyFont="1" applyFill="1" applyBorder="1" applyAlignment="1">
      <alignment/>
    </xf>
    <xf numFmtId="170" fontId="0" fillId="19" borderId="35" xfId="44" applyFont="1" applyFill="1" applyBorder="1" applyAlignment="1">
      <alignment/>
    </xf>
    <xf numFmtId="170" fontId="0" fillId="19" borderId="57" xfId="44" applyFont="1" applyFill="1" applyBorder="1" applyAlignment="1">
      <alignment/>
    </xf>
    <xf numFmtId="170" fontId="1" fillId="19" borderId="61" xfId="44" applyFont="1" applyFill="1" applyBorder="1" applyAlignment="1">
      <alignment/>
    </xf>
    <xf numFmtId="170" fontId="1" fillId="19" borderId="62" xfId="44" applyFont="1" applyFill="1" applyBorder="1" applyAlignment="1">
      <alignment/>
    </xf>
    <xf numFmtId="170" fontId="1" fillId="19" borderId="63" xfId="44" applyFont="1" applyFill="1" applyBorder="1" applyAlignment="1">
      <alignment/>
    </xf>
    <xf numFmtId="0" fontId="0" fillId="14" borderId="24" xfId="0" applyFill="1" applyBorder="1" applyAlignment="1">
      <alignment/>
    </xf>
    <xf numFmtId="170" fontId="0" fillId="14" borderId="24" xfId="44" applyFont="1" applyFill="1" applyBorder="1" applyAlignment="1">
      <alignment/>
    </xf>
    <xf numFmtId="0" fontId="0" fillId="14" borderId="30" xfId="0" applyFill="1" applyBorder="1" applyAlignment="1">
      <alignment/>
    </xf>
    <xf numFmtId="170" fontId="0" fillId="14" borderId="30" xfId="44" applyFont="1" applyFill="1" applyBorder="1" applyAlignment="1">
      <alignment/>
    </xf>
    <xf numFmtId="0" fontId="0" fillId="14" borderId="64" xfId="0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65" xfId="0" applyFill="1" applyBorder="1" applyAlignment="1">
      <alignment/>
    </xf>
    <xf numFmtId="0" fontId="0" fillId="14" borderId="17" xfId="0" applyFill="1" applyBorder="1" applyAlignment="1">
      <alignment/>
    </xf>
    <xf numFmtId="0" fontId="0" fillId="14" borderId="28" xfId="0" applyFill="1" applyBorder="1" applyAlignment="1">
      <alignment/>
    </xf>
    <xf numFmtId="0" fontId="0" fillId="14" borderId="66" xfId="0" applyFill="1" applyBorder="1" applyAlignment="1">
      <alignment/>
    </xf>
    <xf numFmtId="6" fontId="5" fillId="21" borderId="67" xfId="0" applyNumberFormat="1" applyFont="1" applyFill="1" applyBorder="1" applyAlignment="1">
      <alignment horizontal="center" wrapText="1"/>
    </xf>
    <xf numFmtId="174" fontId="4" fillId="0" borderId="0" xfId="0" applyNumberFormat="1" applyFont="1" applyAlignment="1">
      <alignment/>
    </xf>
    <xf numFmtId="174" fontId="12" fillId="20" borderId="68" xfId="0" applyNumberFormat="1" applyFont="1" applyFill="1" applyBorder="1" applyAlignment="1">
      <alignment horizontal="center"/>
    </xf>
    <xf numFmtId="174" fontId="5" fillId="18" borderId="69" xfId="0" applyNumberFormat="1" applyFont="1" applyFill="1" applyBorder="1" applyAlignment="1">
      <alignment horizontal="center" wrapText="1"/>
    </xf>
    <xf numFmtId="174" fontId="14" fillId="0" borderId="34" xfId="44" applyNumberFormat="1" applyFont="1" applyFill="1" applyBorder="1" applyAlignment="1">
      <alignment/>
    </xf>
    <xf numFmtId="174" fontId="16" fillId="0" borderId="34" xfId="44" applyNumberFormat="1" applyFont="1" applyFill="1" applyBorder="1" applyAlignment="1">
      <alignment horizontal="center"/>
    </xf>
    <xf numFmtId="174" fontId="14" fillId="0" borderId="70" xfId="44" applyNumberFormat="1" applyFont="1" applyFill="1" applyBorder="1" applyAlignment="1">
      <alignment/>
    </xf>
    <xf numFmtId="174" fontId="14" fillId="0" borderId="24" xfId="44" applyNumberFormat="1" applyFont="1" applyFill="1" applyBorder="1" applyAlignment="1">
      <alignment/>
    </xf>
    <xf numFmtId="174" fontId="16" fillId="0" borderId="24" xfId="44" applyNumberFormat="1" applyFont="1" applyFill="1" applyBorder="1" applyAlignment="1">
      <alignment horizontal="center"/>
    </xf>
    <xf numFmtId="49" fontId="8" fillId="0" borderId="71" xfId="0" applyNumberFormat="1" applyFont="1" applyFill="1" applyBorder="1" applyAlignment="1">
      <alignment horizontal="left"/>
    </xf>
    <xf numFmtId="49" fontId="8" fillId="0" borderId="72" xfId="0" applyNumberFormat="1" applyFont="1" applyFill="1" applyBorder="1" applyAlignment="1">
      <alignment horizontal="left"/>
    </xf>
    <xf numFmtId="49" fontId="8" fillId="0" borderId="73" xfId="0" applyNumberFormat="1" applyFont="1" applyFill="1" applyBorder="1" applyAlignment="1">
      <alignment/>
    </xf>
    <xf numFmtId="49" fontId="8" fillId="0" borderId="74" xfId="0" applyNumberFormat="1" applyFont="1" applyFill="1" applyBorder="1" applyAlignment="1">
      <alignment horizontal="left"/>
    </xf>
    <xf numFmtId="170" fontId="1" fillId="0" borderId="19" xfId="44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75" xfId="0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1" fillId="22" borderId="27" xfId="0" applyFont="1" applyFill="1" applyBorder="1" applyAlignment="1">
      <alignment horizontal="center"/>
    </xf>
    <xf numFmtId="0" fontId="11" fillId="23" borderId="78" xfId="0" applyFont="1" applyFill="1" applyBorder="1" applyAlignment="1">
      <alignment horizontal="center"/>
    </xf>
    <xf numFmtId="0" fontId="1" fillId="0" borderId="79" xfId="0" applyFont="1" applyBorder="1" applyAlignment="1">
      <alignment horizontal="left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49" fontId="12" fillId="20" borderId="71" xfId="0" applyNumberFormat="1" applyFont="1" applyFill="1" applyBorder="1" applyAlignment="1">
      <alignment horizontal="center"/>
    </xf>
    <xf numFmtId="49" fontId="12" fillId="20" borderId="82" xfId="0" applyNumberFormat="1" applyFont="1" applyFill="1" applyBorder="1" applyAlignment="1">
      <alignment horizontal="center"/>
    </xf>
    <xf numFmtId="49" fontId="12" fillId="20" borderId="72" xfId="0" applyNumberFormat="1" applyFont="1" applyFill="1" applyBorder="1" applyAlignment="1">
      <alignment horizontal="center"/>
    </xf>
    <xf numFmtId="49" fontId="12" fillId="20" borderId="42" xfId="0" applyNumberFormat="1" applyFont="1" applyFill="1" applyBorder="1" applyAlignment="1">
      <alignment horizontal="center"/>
    </xf>
    <xf numFmtId="49" fontId="12" fillId="20" borderId="0" xfId="0" applyNumberFormat="1" applyFont="1" applyFill="1" applyBorder="1" applyAlignment="1">
      <alignment horizontal="center"/>
    </xf>
    <xf numFmtId="49" fontId="12" fillId="20" borderId="68" xfId="0" applyNumberFormat="1" applyFont="1" applyFill="1" applyBorder="1" applyAlignment="1">
      <alignment horizontal="center"/>
    </xf>
    <xf numFmtId="49" fontId="13" fillId="24" borderId="45" xfId="0" applyNumberFormat="1" applyFont="1" applyFill="1" applyBorder="1" applyAlignment="1">
      <alignment horizontal="center"/>
    </xf>
    <xf numFmtId="49" fontId="13" fillId="24" borderId="83" xfId="0" applyNumberFormat="1" applyFont="1" applyFill="1" applyBorder="1" applyAlignment="1">
      <alignment horizontal="center"/>
    </xf>
    <xf numFmtId="49" fontId="13" fillId="24" borderId="84" xfId="0" applyNumberFormat="1" applyFont="1" applyFill="1" applyBorder="1" applyAlignment="1">
      <alignment horizontal="center"/>
    </xf>
    <xf numFmtId="10" fontId="1" fillId="14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10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24.140625" style="0" customWidth="1"/>
    <col min="2" max="2" width="23.421875" style="0" customWidth="1"/>
    <col min="3" max="3" width="21.421875" style="0" customWidth="1"/>
    <col min="4" max="4" width="12.28125" style="0" customWidth="1"/>
  </cols>
  <sheetData>
    <row r="1" spans="1:3" ht="13.5" thickBot="1">
      <c r="A1" s="141" t="s">
        <v>90</v>
      </c>
      <c r="B1" s="141"/>
      <c r="C1" s="141"/>
    </row>
    <row r="2" spans="1:3" ht="27" thickBot="1" thickTop="1">
      <c r="A2" s="24" t="s">
        <v>47</v>
      </c>
      <c r="B2" s="25" t="s">
        <v>57</v>
      </c>
      <c r="C2" s="26" t="s">
        <v>48</v>
      </c>
    </row>
    <row r="3" spans="1:3" ht="13.5" thickTop="1">
      <c r="A3" s="11" t="s">
        <v>58</v>
      </c>
      <c r="B3" s="114">
        <v>268000</v>
      </c>
      <c r="C3" s="104">
        <f>B3/$B$7</f>
        <v>0.4142194744976816</v>
      </c>
    </row>
    <row r="4" spans="1:3" ht="12.75">
      <c r="A4" s="12" t="s">
        <v>59</v>
      </c>
      <c r="B4" s="15">
        <v>66000</v>
      </c>
      <c r="C4" s="105">
        <f>B4/$B$7</f>
        <v>0.10200927357032458</v>
      </c>
    </row>
    <row r="5" spans="1:3" ht="12.75">
      <c r="A5" s="12" t="s">
        <v>60</v>
      </c>
      <c r="B5" s="15">
        <v>205000</v>
      </c>
      <c r="C5" s="105">
        <f>B5/$B$7</f>
        <v>0.3168469860896445</v>
      </c>
    </row>
    <row r="6" spans="1:3" ht="12.75">
      <c r="A6" s="12" t="s">
        <v>61</v>
      </c>
      <c r="B6" s="15">
        <v>108000</v>
      </c>
      <c r="C6" s="105">
        <f>B6/$B$7</f>
        <v>0.16692426584234932</v>
      </c>
    </row>
    <row r="7" spans="1:3" ht="13.5" thickBot="1">
      <c r="A7" s="27" t="s">
        <v>49</v>
      </c>
      <c r="B7" s="106">
        <f>SUM(B3:B6)</f>
        <v>647000</v>
      </c>
      <c r="C7" s="107">
        <f>B7/$B$7</f>
        <v>1</v>
      </c>
    </row>
    <row r="8" ht="13.5" thickTop="1"/>
    <row r="9" ht="12.75">
      <c r="A9" t="s">
        <v>56</v>
      </c>
    </row>
    <row r="10" ht="12.75">
      <c r="A10" t="s">
        <v>72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cellComments="asDisplayed" errors="blank"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35"/>
  <sheetViews>
    <sheetView showGridLines="0" zoomScalePageLayoutView="0" workbookViewId="0" topLeftCell="A1">
      <selection activeCell="H24" sqref="H24"/>
    </sheetView>
  </sheetViews>
  <sheetFormatPr defaultColWidth="9.140625" defaultRowHeight="12.75"/>
  <cols>
    <col min="1" max="1" width="25.421875" style="0" customWidth="1"/>
    <col min="2" max="2" width="17.28125" style="0" customWidth="1"/>
    <col min="3" max="3" width="10.8515625" style="0" bestFit="1" customWidth="1"/>
    <col min="4" max="4" width="22.140625" style="0" bestFit="1" customWidth="1"/>
    <col min="5" max="5" width="12.00390625" style="0" bestFit="1" customWidth="1"/>
    <col min="6" max="6" width="12.7109375" style="5" bestFit="1" customWidth="1"/>
    <col min="7" max="7" width="14.00390625" style="5" bestFit="1" customWidth="1"/>
    <col min="8" max="8" width="15.8515625" style="5" bestFit="1" customWidth="1"/>
    <col min="9" max="9" width="25.140625" style="5" customWidth="1"/>
    <col min="10" max="10" width="21.140625" style="5" bestFit="1" customWidth="1"/>
    <col min="11" max="11" width="17.8515625" style="5" customWidth="1"/>
  </cols>
  <sheetData>
    <row r="1" spans="1:11" ht="13.5" thickBot="1">
      <c r="A1" s="142" t="s">
        <v>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4" spans="1:2" ht="12.75">
      <c r="A4" s="10" t="s">
        <v>43</v>
      </c>
      <c r="B4" s="155">
        <v>0.025</v>
      </c>
    </row>
    <row r="5" ht="13.5" thickBot="1"/>
    <row r="6" spans="1:12" ht="39.75" thickBot="1" thickTop="1">
      <c r="A6" s="6" t="s">
        <v>35</v>
      </c>
      <c r="B6" s="13" t="s">
        <v>41</v>
      </c>
      <c r="C6" s="7" t="s">
        <v>36</v>
      </c>
      <c r="D6" s="137" t="s">
        <v>140</v>
      </c>
      <c r="E6" s="7" t="s">
        <v>39</v>
      </c>
      <c r="F6" s="8" t="s">
        <v>40</v>
      </c>
      <c r="G6" s="8" t="s">
        <v>37</v>
      </c>
      <c r="H6" s="136" t="s">
        <v>4</v>
      </c>
      <c r="I6" s="21" t="s">
        <v>139</v>
      </c>
      <c r="J6" s="21" t="s">
        <v>42</v>
      </c>
      <c r="K6" s="9" t="s">
        <v>5</v>
      </c>
      <c r="L6" s="10"/>
    </row>
    <row r="7" spans="1:11" ht="12.75">
      <c r="A7" s="118" t="s">
        <v>63</v>
      </c>
      <c r="B7" s="117" t="s">
        <v>58</v>
      </c>
      <c r="C7" s="113" t="s">
        <v>73</v>
      </c>
      <c r="D7" s="113" t="s">
        <v>143</v>
      </c>
      <c r="E7" s="113">
        <v>40</v>
      </c>
      <c r="F7" s="114">
        <v>36.91</v>
      </c>
      <c r="G7" s="103">
        <f>E7*F7*26</f>
        <v>38386.399999999994</v>
      </c>
      <c r="H7" s="108">
        <f>IF(D7="Full Time/PPT",(E7*2*F7*0.175),0)</f>
        <v>516.7399999999999</v>
      </c>
      <c r="I7" s="108">
        <f>G7+H7</f>
        <v>38903.13999999999</v>
      </c>
      <c r="J7" s="108">
        <f>I7+(I7*$B$4)</f>
        <v>39875.718499999995</v>
      </c>
      <c r="K7" s="109">
        <f>(J7*0.09)-(H7*0.09)</f>
        <v>3542.3080649999993</v>
      </c>
    </row>
    <row r="8" spans="1:11" ht="12.75">
      <c r="A8" s="118" t="s">
        <v>64</v>
      </c>
      <c r="B8" s="119" t="s">
        <v>58</v>
      </c>
      <c r="C8" s="14" t="s">
        <v>74</v>
      </c>
      <c r="D8" s="14" t="s">
        <v>143</v>
      </c>
      <c r="E8" s="14">
        <v>76</v>
      </c>
      <c r="F8" s="15">
        <v>30.76</v>
      </c>
      <c r="G8" s="103">
        <f aca="true" t="shared" si="0" ref="G8:G15">E8*F8*26</f>
        <v>60781.76000000001</v>
      </c>
      <c r="H8" s="108">
        <f aca="true" t="shared" si="1" ref="H8:H21">IF(D8="Full Time/PPT",(E8*2*F8*0.175),0)</f>
        <v>818.216</v>
      </c>
      <c r="I8" s="108">
        <f aca="true" t="shared" si="2" ref="I8:I21">G8+H8</f>
        <v>61599.97600000001</v>
      </c>
      <c r="J8" s="108">
        <f aca="true" t="shared" si="3" ref="J8:J21">I8+(I8*$B$4)</f>
        <v>63139.97540000001</v>
      </c>
      <c r="K8" s="109">
        <f>(J8*0.09)-(H8*0.09)</f>
        <v>5608.958346</v>
      </c>
    </row>
    <row r="9" spans="1:11" ht="12.75">
      <c r="A9" s="118" t="s">
        <v>65</v>
      </c>
      <c r="B9" s="119" t="s">
        <v>60</v>
      </c>
      <c r="C9" s="14" t="s">
        <v>75</v>
      </c>
      <c r="D9" s="14" t="s">
        <v>143</v>
      </c>
      <c r="E9" s="14">
        <v>60</v>
      </c>
      <c r="F9" s="15">
        <v>21.53</v>
      </c>
      <c r="G9" s="103">
        <f t="shared" si="0"/>
        <v>33586.8</v>
      </c>
      <c r="H9" s="108">
        <f t="shared" si="1"/>
        <v>452.13000000000005</v>
      </c>
      <c r="I9" s="108">
        <f t="shared" si="2"/>
        <v>34038.93</v>
      </c>
      <c r="J9" s="108">
        <f t="shared" si="3"/>
        <v>34889.90325</v>
      </c>
      <c r="K9" s="109">
        <f aca="true" t="shared" si="4" ref="K9:K15">(J9*0.09)-(H9*0.09)</f>
        <v>3099.3995925000004</v>
      </c>
    </row>
    <row r="10" spans="1:11" ht="12.75">
      <c r="A10" s="118" t="s">
        <v>66</v>
      </c>
      <c r="B10" s="119" t="s">
        <v>59</v>
      </c>
      <c r="C10" s="14" t="s">
        <v>76</v>
      </c>
      <c r="D10" s="14" t="s">
        <v>143</v>
      </c>
      <c r="E10" s="14">
        <v>76</v>
      </c>
      <c r="F10" s="15">
        <v>22.79</v>
      </c>
      <c r="G10" s="103">
        <f t="shared" si="0"/>
        <v>45033.04</v>
      </c>
      <c r="H10" s="108">
        <f t="shared" si="1"/>
        <v>606.2139999999999</v>
      </c>
      <c r="I10" s="108">
        <f t="shared" si="2"/>
        <v>45639.254</v>
      </c>
      <c r="J10" s="108">
        <f t="shared" si="3"/>
        <v>46780.23535</v>
      </c>
      <c r="K10" s="109">
        <f t="shared" si="4"/>
        <v>4155.6619215</v>
      </c>
    </row>
    <row r="11" spans="1:11" ht="12.75">
      <c r="A11" s="118" t="s">
        <v>67</v>
      </c>
      <c r="B11" s="119" t="s">
        <v>60</v>
      </c>
      <c r="C11" s="14" t="s">
        <v>77</v>
      </c>
      <c r="D11" s="14" t="s">
        <v>143</v>
      </c>
      <c r="E11" s="14">
        <v>76</v>
      </c>
      <c r="F11" s="15">
        <v>53.14</v>
      </c>
      <c r="G11" s="103">
        <f t="shared" si="0"/>
        <v>105004.64</v>
      </c>
      <c r="H11" s="108">
        <f t="shared" si="1"/>
        <v>1413.524</v>
      </c>
      <c r="I11" s="108">
        <f t="shared" si="2"/>
        <v>106418.164</v>
      </c>
      <c r="J11" s="108">
        <f t="shared" si="3"/>
        <v>109078.6181</v>
      </c>
      <c r="K11" s="109">
        <f t="shared" si="4"/>
        <v>9689.858469</v>
      </c>
    </row>
    <row r="12" spans="1:11" ht="12.75">
      <c r="A12" s="118" t="s">
        <v>68</v>
      </c>
      <c r="B12" s="119" t="s">
        <v>58</v>
      </c>
      <c r="C12" s="14" t="s">
        <v>78</v>
      </c>
      <c r="D12" s="14" t="s">
        <v>142</v>
      </c>
      <c r="E12" s="14">
        <v>48</v>
      </c>
      <c r="F12" s="15">
        <f>25.62+5.14</f>
        <v>30.76</v>
      </c>
      <c r="G12" s="103">
        <f t="shared" si="0"/>
        <v>38388.48</v>
      </c>
      <c r="H12" s="108">
        <f t="shared" si="1"/>
        <v>0</v>
      </c>
      <c r="I12" s="108">
        <f t="shared" si="2"/>
        <v>38388.48</v>
      </c>
      <c r="J12" s="108">
        <f t="shared" si="3"/>
        <v>39348.192</v>
      </c>
      <c r="K12" s="109">
        <f t="shared" si="4"/>
        <v>3541.33728</v>
      </c>
    </row>
    <row r="13" spans="1:11" ht="12.75">
      <c r="A13" s="118" t="s">
        <v>69</v>
      </c>
      <c r="B13" s="119" t="s">
        <v>61</v>
      </c>
      <c r="C13" s="14" t="s">
        <v>79</v>
      </c>
      <c r="D13" s="14" t="s">
        <v>143</v>
      </c>
      <c r="E13" s="14">
        <v>76</v>
      </c>
      <c r="F13" s="15">
        <v>28.84</v>
      </c>
      <c r="G13" s="103">
        <f t="shared" si="0"/>
        <v>56987.840000000004</v>
      </c>
      <c r="H13" s="108">
        <f t="shared" si="1"/>
        <v>767.144</v>
      </c>
      <c r="I13" s="108">
        <f t="shared" si="2"/>
        <v>57754.984000000004</v>
      </c>
      <c r="J13" s="108">
        <f t="shared" si="3"/>
        <v>59198.85860000001</v>
      </c>
      <c r="K13" s="109">
        <f t="shared" si="4"/>
        <v>5258.854314000001</v>
      </c>
    </row>
    <row r="14" spans="1:11" ht="12.75">
      <c r="A14" s="118" t="s">
        <v>70</v>
      </c>
      <c r="B14" s="119" t="s">
        <v>58</v>
      </c>
      <c r="C14" s="14" t="s">
        <v>80</v>
      </c>
      <c r="D14" s="14" t="s">
        <v>143</v>
      </c>
      <c r="E14" s="14">
        <v>60</v>
      </c>
      <c r="F14" s="15">
        <v>28.2</v>
      </c>
      <c r="G14" s="103">
        <f t="shared" si="0"/>
        <v>43992</v>
      </c>
      <c r="H14" s="108">
        <f t="shared" si="1"/>
        <v>592.1999999999999</v>
      </c>
      <c r="I14" s="108">
        <f t="shared" si="2"/>
        <v>44584.2</v>
      </c>
      <c r="J14" s="108">
        <f t="shared" si="3"/>
        <v>45698.805</v>
      </c>
      <c r="K14" s="109">
        <f t="shared" si="4"/>
        <v>4059.5944500000005</v>
      </c>
    </row>
    <row r="15" spans="1:11" ht="12.75">
      <c r="A15" s="118" t="s">
        <v>71</v>
      </c>
      <c r="B15" s="119" t="s">
        <v>61</v>
      </c>
      <c r="C15" s="14" t="s">
        <v>81</v>
      </c>
      <c r="D15" s="14" t="s">
        <v>142</v>
      </c>
      <c r="E15" s="14">
        <v>20</v>
      </c>
      <c r="F15" s="15">
        <v>30.76</v>
      </c>
      <c r="G15" s="103">
        <f t="shared" si="0"/>
        <v>15995.2</v>
      </c>
      <c r="H15" s="108">
        <f t="shared" si="1"/>
        <v>0</v>
      </c>
      <c r="I15" s="108">
        <f t="shared" si="2"/>
        <v>15995.2</v>
      </c>
      <c r="J15" s="108">
        <f t="shared" si="3"/>
        <v>16395.08</v>
      </c>
      <c r="K15" s="109">
        <f t="shared" si="4"/>
        <v>1475.5572000000002</v>
      </c>
    </row>
    <row r="16" spans="1:11" ht="12.75">
      <c r="A16" s="118"/>
      <c r="B16" s="119"/>
      <c r="C16" s="14"/>
      <c r="D16" s="14"/>
      <c r="E16" s="14"/>
      <c r="F16" s="15"/>
      <c r="G16" s="103">
        <f aca="true" t="shared" si="5" ref="G16:G21">E16*F16*26</f>
        <v>0</v>
      </c>
      <c r="H16" s="108">
        <f t="shared" si="1"/>
        <v>0</v>
      </c>
      <c r="I16" s="108">
        <f t="shared" si="2"/>
        <v>0</v>
      </c>
      <c r="J16" s="108">
        <f t="shared" si="3"/>
        <v>0</v>
      </c>
      <c r="K16" s="109">
        <f aca="true" t="shared" si="6" ref="K16:K21">J16*0.09</f>
        <v>0</v>
      </c>
    </row>
    <row r="17" spans="1:11" ht="12.75">
      <c r="A17" s="118"/>
      <c r="B17" s="119"/>
      <c r="C17" s="14"/>
      <c r="D17" s="14"/>
      <c r="E17" s="14"/>
      <c r="F17" s="15"/>
      <c r="G17" s="103">
        <f t="shared" si="5"/>
        <v>0</v>
      </c>
      <c r="H17" s="108">
        <f t="shared" si="1"/>
        <v>0</v>
      </c>
      <c r="I17" s="108">
        <f t="shared" si="2"/>
        <v>0</v>
      </c>
      <c r="J17" s="108">
        <f t="shared" si="3"/>
        <v>0</v>
      </c>
      <c r="K17" s="109">
        <f t="shared" si="6"/>
        <v>0</v>
      </c>
    </row>
    <row r="18" spans="1:11" ht="12.75">
      <c r="A18" s="120"/>
      <c r="B18" s="119"/>
      <c r="C18" s="14"/>
      <c r="D18" s="14"/>
      <c r="E18" s="14"/>
      <c r="F18" s="15"/>
      <c r="G18" s="103">
        <f t="shared" si="5"/>
        <v>0</v>
      </c>
      <c r="H18" s="108">
        <f t="shared" si="1"/>
        <v>0</v>
      </c>
      <c r="I18" s="108">
        <f t="shared" si="2"/>
        <v>0</v>
      </c>
      <c r="J18" s="108">
        <f t="shared" si="3"/>
        <v>0</v>
      </c>
      <c r="K18" s="109">
        <f t="shared" si="6"/>
        <v>0</v>
      </c>
    </row>
    <row r="19" spans="1:11" ht="12.75">
      <c r="A19" s="120"/>
      <c r="B19" s="119"/>
      <c r="C19" s="14"/>
      <c r="D19" s="14"/>
      <c r="E19" s="14"/>
      <c r="F19" s="15"/>
      <c r="G19" s="103">
        <f t="shared" si="5"/>
        <v>0</v>
      </c>
      <c r="H19" s="108">
        <f t="shared" si="1"/>
        <v>0</v>
      </c>
      <c r="I19" s="108">
        <f t="shared" si="2"/>
        <v>0</v>
      </c>
      <c r="J19" s="108">
        <f t="shared" si="3"/>
        <v>0</v>
      </c>
      <c r="K19" s="109">
        <f t="shared" si="6"/>
        <v>0</v>
      </c>
    </row>
    <row r="20" spans="1:11" ht="12.75">
      <c r="A20" s="120"/>
      <c r="B20" s="119"/>
      <c r="C20" s="14"/>
      <c r="D20" s="14"/>
      <c r="E20" s="14"/>
      <c r="F20" s="15"/>
      <c r="G20" s="103">
        <f t="shared" si="5"/>
        <v>0</v>
      </c>
      <c r="H20" s="108">
        <f t="shared" si="1"/>
        <v>0</v>
      </c>
      <c r="I20" s="108">
        <f t="shared" si="2"/>
        <v>0</v>
      </c>
      <c r="J20" s="108">
        <f t="shared" si="3"/>
        <v>0</v>
      </c>
      <c r="K20" s="109">
        <f t="shared" si="6"/>
        <v>0</v>
      </c>
    </row>
    <row r="21" spans="1:11" ht="13.5" thickBot="1">
      <c r="A21" s="121"/>
      <c r="B21" s="122"/>
      <c r="C21" s="115"/>
      <c r="D21" s="115"/>
      <c r="E21" s="115"/>
      <c r="F21" s="116"/>
      <c r="G21" s="103">
        <f t="shared" si="5"/>
        <v>0</v>
      </c>
      <c r="H21" s="108">
        <f t="shared" si="1"/>
        <v>0</v>
      </c>
      <c r="I21" s="108">
        <f t="shared" si="2"/>
        <v>0</v>
      </c>
      <c r="J21" s="108">
        <f t="shared" si="3"/>
        <v>0</v>
      </c>
      <c r="K21" s="109">
        <f t="shared" si="6"/>
        <v>0</v>
      </c>
    </row>
    <row r="22" spans="1:11" ht="14.25" thickBot="1" thickTop="1">
      <c r="A22" s="143" t="s">
        <v>38</v>
      </c>
      <c r="B22" s="144"/>
      <c r="C22" s="144"/>
      <c r="D22" s="144"/>
      <c r="E22" s="144"/>
      <c r="F22" s="145"/>
      <c r="G22" s="110">
        <f>SUM(G7:G21)</f>
        <v>438156.16000000003</v>
      </c>
      <c r="H22" s="111"/>
      <c r="I22" s="111"/>
      <c r="J22" s="111">
        <f>SUM(J7:J21)</f>
        <v>454405.38620000007</v>
      </c>
      <c r="K22" s="112">
        <f>SUM(K7:K21)</f>
        <v>40431.529638000015</v>
      </c>
    </row>
    <row r="23" spans="6:11" ht="13.5" thickTop="1">
      <c r="F23"/>
      <c r="G23"/>
      <c r="H23"/>
      <c r="I23"/>
      <c r="J23"/>
      <c r="K23"/>
    </row>
    <row r="25" spans="1:2" ht="12.75">
      <c r="A25" s="1" t="s">
        <v>44</v>
      </c>
      <c r="B25" s="1"/>
    </row>
    <row r="26" spans="1:2" ht="12.75">
      <c r="A26" s="22"/>
      <c r="B26" t="s">
        <v>45</v>
      </c>
    </row>
    <row r="27" spans="1:2" ht="12.75">
      <c r="A27" s="23"/>
      <c r="B27" t="s">
        <v>54</v>
      </c>
    </row>
    <row r="32" ht="13.5" thickBot="1"/>
    <row r="33" ht="12.75">
      <c r="A33" s="138" t="s">
        <v>141</v>
      </c>
    </row>
    <row r="34" ht="12.75">
      <c r="A34" s="139" t="s">
        <v>143</v>
      </c>
    </row>
    <row r="35" ht="13.5" thickBot="1">
      <c r="A35" s="140" t="s">
        <v>142</v>
      </c>
    </row>
  </sheetData>
  <sheetProtection/>
  <mergeCells count="2">
    <mergeCell ref="A1:K1"/>
    <mergeCell ref="A22:F22"/>
  </mergeCells>
  <dataValidations count="1">
    <dataValidation type="list" allowBlank="1" showInputMessage="1" showErrorMessage="1" sqref="D7:D21">
      <formula1>$A$34:$A$35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63"/>
  <sheetViews>
    <sheetView showGridLines="0" tabSelected="1" zoomScalePageLayoutView="0" workbookViewId="0" topLeftCell="B1">
      <selection activeCell="F52" sqref="F52"/>
    </sheetView>
  </sheetViews>
  <sheetFormatPr defaultColWidth="9.00390625" defaultRowHeight="12.75"/>
  <cols>
    <col min="1" max="1" width="19.140625" style="1" bestFit="1" customWidth="1"/>
    <col min="2" max="2" width="30.140625" style="1" customWidth="1"/>
    <col min="3" max="3" width="11.57421875" style="20" customWidth="1"/>
    <col min="4" max="4" width="12.140625" style="98" bestFit="1" customWidth="1"/>
    <col min="5" max="5" width="15.28125" style="98" customWidth="1"/>
    <col min="6" max="6" width="14.00390625" style="98" customWidth="1"/>
    <col min="7" max="7" width="17.00390625" style="98" customWidth="1"/>
    <col min="8" max="8" width="13.8515625" style="1" customWidth="1"/>
    <col min="9" max="9" width="11.8515625" style="63" bestFit="1" customWidth="1"/>
    <col min="10" max="10" width="10.00390625" style="124" bestFit="1" customWidth="1"/>
    <col min="11" max="16384" width="9.00390625" style="1" customWidth="1"/>
  </cols>
  <sheetData>
    <row r="1" spans="1:4" ht="13.5" thickBot="1">
      <c r="A1" s="2"/>
      <c r="B1" s="2"/>
      <c r="C1" s="19"/>
      <c r="D1" s="97"/>
    </row>
    <row r="2" spans="1:10" ht="18.75" customHeight="1" thickTop="1">
      <c r="A2" s="146" t="s">
        <v>97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10" ht="19.5" thickBot="1">
      <c r="A3" s="149" t="s">
        <v>98</v>
      </c>
      <c r="B3" s="150"/>
      <c r="C3" s="150"/>
      <c r="D3" s="150"/>
      <c r="E3" s="150"/>
      <c r="F3" s="150"/>
      <c r="G3" s="150"/>
      <c r="H3" s="150"/>
      <c r="I3" s="150"/>
      <c r="J3" s="151"/>
    </row>
    <row r="4" spans="1:10" ht="20.25" thickBot="1" thickTop="1">
      <c r="A4" s="132" t="s">
        <v>99</v>
      </c>
      <c r="B4" s="133" t="s">
        <v>101</v>
      </c>
      <c r="C4" s="28"/>
      <c r="D4" s="99"/>
      <c r="E4" s="99"/>
      <c r="F4" s="99"/>
      <c r="G4" s="99"/>
      <c r="H4" s="28"/>
      <c r="I4" s="28"/>
      <c r="J4" s="125"/>
    </row>
    <row r="5" spans="1:10" ht="13.5" customHeight="1" thickBot="1" thickTop="1">
      <c r="A5" s="134" t="s">
        <v>100</v>
      </c>
      <c r="B5" s="135" t="s">
        <v>102</v>
      </c>
      <c r="C5" s="36"/>
      <c r="D5" s="152" t="s">
        <v>53</v>
      </c>
      <c r="E5" s="153"/>
      <c r="F5" s="153"/>
      <c r="G5" s="153"/>
      <c r="H5" s="153"/>
      <c r="I5" s="153"/>
      <c r="J5" s="154"/>
    </row>
    <row r="6" spans="1:10" s="4" customFormat="1" ht="40.5" customHeight="1" thickTop="1">
      <c r="A6" s="33" t="s">
        <v>33</v>
      </c>
      <c r="B6" s="47" t="s">
        <v>34</v>
      </c>
      <c r="C6" s="123" t="s">
        <v>55</v>
      </c>
      <c r="D6" s="100" t="s">
        <v>82</v>
      </c>
      <c r="E6" s="101" t="s">
        <v>83</v>
      </c>
      <c r="F6" s="102" t="s">
        <v>84</v>
      </c>
      <c r="G6" s="101" t="s">
        <v>85</v>
      </c>
      <c r="H6" s="30" t="s">
        <v>50</v>
      </c>
      <c r="I6" s="29" t="s">
        <v>51</v>
      </c>
      <c r="J6" s="126" t="s">
        <v>52</v>
      </c>
    </row>
    <row r="7" spans="1:10" s="3" customFormat="1" ht="12">
      <c r="A7" s="16"/>
      <c r="B7" s="48" t="s">
        <v>1</v>
      </c>
      <c r="C7" s="56"/>
      <c r="D7" s="35"/>
      <c r="E7" s="31"/>
      <c r="F7" s="31"/>
      <c r="G7" s="31"/>
      <c r="H7" s="32"/>
      <c r="I7" s="66"/>
      <c r="J7" s="82"/>
    </row>
    <row r="8" spans="1:10" ht="12">
      <c r="A8" s="17" t="s">
        <v>92</v>
      </c>
      <c r="B8" s="49" t="s">
        <v>2</v>
      </c>
      <c r="C8" s="67">
        <v>3000</v>
      </c>
      <c r="D8" s="72">
        <f>C8*'1. Income Driver Worksheet'!C3</f>
        <v>1242.658423493045</v>
      </c>
      <c r="E8" s="73">
        <f>C8*'1. Income Driver Worksheet'!C4</f>
        <v>306.02782071097374</v>
      </c>
      <c r="F8" s="73">
        <f>C8*'1. Income Driver Worksheet'!C5</f>
        <v>950.5409582689335</v>
      </c>
      <c r="G8" s="73">
        <f>C8*'1. Income Driver Worksheet'!C6</f>
        <v>500.77279752704794</v>
      </c>
      <c r="H8" s="73">
        <f aca="true" t="shared" si="0" ref="H8:H13">SUM(D8:G8)</f>
        <v>3000</v>
      </c>
      <c r="I8" s="83" t="str">
        <f aca="true" t="shared" si="1" ref="I8:I14">IF(C8=H8,"All Allocated","Incomplete")</f>
        <v>All Allocated</v>
      </c>
      <c r="J8" s="79">
        <f aca="true" t="shared" si="2" ref="J8:J13">C8-H8</f>
        <v>0</v>
      </c>
    </row>
    <row r="9" spans="1:10" ht="12">
      <c r="A9" s="17" t="s">
        <v>93</v>
      </c>
      <c r="B9" s="49" t="s">
        <v>86</v>
      </c>
      <c r="C9" s="67">
        <f>'1. Income Driver Worksheet'!B3</f>
        <v>268000</v>
      </c>
      <c r="D9" s="72">
        <f>C9</f>
        <v>268000</v>
      </c>
      <c r="E9" s="73"/>
      <c r="F9" s="73"/>
      <c r="G9" s="73"/>
      <c r="H9" s="73">
        <f t="shared" si="0"/>
        <v>268000</v>
      </c>
      <c r="I9" s="83" t="str">
        <f t="shared" si="1"/>
        <v>All Allocated</v>
      </c>
      <c r="J9" s="79">
        <f t="shared" si="2"/>
        <v>0</v>
      </c>
    </row>
    <row r="10" spans="1:10" ht="12">
      <c r="A10" s="17" t="s">
        <v>94</v>
      </c>
      <c r="B10" s="49" t="s">
        <v>87</v>
      </c>
      <c r="C10" s="67">
        <f>'1. Income Driver Worksheet'!B4</f>
        <v>66000</v>
      </c>
      <c r="D10" s="72"/>
      <c r="E10" s="73">
        <f>C10</f>
        <v>66000</v>
      </c>
      <c r="F10" s="73"/>
      <c r="G10" s="73"/>
      <c r="H10" s="73">
        <f t="shared" si="0"/>
        <v>66000</v>
      </c>
      <c r="I10" s="83" t="str">
        <f t="shared" si="1"/>
        <v>All Allocated</v>
      </c>
      <c r="J10" s="79">
        <f t="shared" si="2"/>
        <v>0</v>
      </c>
    </row>
    <row r="11" spans="1:10" ht="12">
      <c r="A11" s="17" t="s">
        <v>95</v>
      </c>
      <c r="B11" s="49" t="s">
        <v>88</v>
      </c>
      <c r="C11" s="67">
        <f>'1. Income Driver Worksheet'!B5</f>
        <v>205000</v>
      </c>
      <c r="D11" s="72"/>
      <c r="E11" s="73"/>
      <c r="F11" s="73">
        <f>C11</f>
        <v>205000</v>
      </c>
      <c r="G11" s="73"/>
      <c r="H11" s="73">
        <f t="shared" si="0"/>
        <v>205000</v>
      </c>
      <c r="I11" s="83" t="str">
        <f t="shared" si="1"/>
        <v>All Allocated</v>
      </c>
      <c r="J11" s="79">
        <f t="shared" si="2"/>
        <v>0</v>
      </c>
    </row>
    <row r="12" spans="1:10" ht="12">
      <c r="A12" s="17" t="s">
        <v>96</v>
      </c>
      <c r="B12" s="49" t="s">
        <v>89</v>
      </c>
      <c r="C12" s="67">
        <f>'1. Income Driver Worksheet'!B6</f>
        <v>108000</v>
      </c>
      <c r="D12" s="72"/>
      <c r="E12" s="73"/>
      <c r="F12" s="73"/>
      <c r="G12" s="73">
        <f>C12</f>
        <v>108000</v>
      </c>
      <c r="H12" s="73">
        <f t="shared" si="0"/>
        <v>108000</v>
      </c>
      <c r="I12" s="83" t="str">
        <f t="shared" si="1"/>
        <v>All Allocated</v>
      </c>
      <c r="J12" s="79">
        <f t="shared" si="2"/>
        <v>0</v>
      </c>
    </row>
    <row r="13" spans="1:10" ht="12.75" thickBot="1">
      <c r="A13" s="37"/>
      <c r="B13" s="50"/>
      <c r="C13" s="67"/>
      <c r="D13" s="70"/>
      <c r="E13" s="71"/>
      <c r="F13" s="71"/>
      <c r="G13" s="71"/>
      <c r="H13" s="85">
        <f t="shared" si="0"/>
        <v>0</v>
      </c>
      <c r="I13" s="86" t="str">
        <f t="shared" si="1"/>
        <v>All Allocated</v>
      </c>
      <c r="J13" s="80">
        <f t="shared" si="2"/>
        <v>0</v>
      </c>
    </row>
    <row r="14" spans="1:10" ht="13.5" thickBot="1" thickTop="1">
      <c r="A14" s="43" t="s">
        <v>30</v>
      </c>
      <c r="B14" s="51" t="s">
        <v>0</v>
      </c>
      <c r="C14" s="74">
        <f aca="true" t="shared" si="3" ref="C14:H14">SUM(C7:C13)</f>
        <v>650000</v>
      </c>
      <c r="D14" s="75">
        <f t="shared" si="3"/>
        <v>269242.65842349303</v>
      </c>
      <c r="E14" s="76">
        <f t="shared" si="3"/>
        <v>66306.02782071098</v>
      </c>
      <c r="F14" s="76">
        <f t="shared" si="3"/>
        <v>205950.54095826895</v>
      </c>
      <c r="G14" s="76">
        <f t="shared" si="3"/>
        <v>108500.77279752705</v>
      </c>
      <c r="H14" s="76">
        <f t="shared" si="3"/>
        <v>650000</v>
      </c>
      <c r="I14" s="77" t="str">
        <f t="shared" si="1"/>
        <v>All Allocated</v>
      </c>
      <c r="J14" s="78">
        <f>SUM(J7:J13)</f>
        <v>0</v>
      </c>
    </row>
    <row r="15" spans="1:10" ht="12.75" thickTop="1">
      <c r="A15" s="44"/>
      <c r="B15" s="52"/>
      <c r="C15" s="58"/>
      <c r="D15" s="45"/>
      <c r="E15" s="46"/>
      <c r="F15" s="46"/>
      <c r="G15" s="46"/>
      <c r="H15" s="127"/>
      <c r="I15" s="128"/>
      <c r="J15" s="129"/>
    </row>
    <row r="16" spans="1:10" ht="12">
      <c r="A16" s="40"/>
      <c r="B16" s="53" t="s">
        <v>3</v>
      </c>
      <c r="C16" s="59"/>
      <c r="D16" s="41"/>
      <c r="E16" s="42"/>
      <c r="F16" s="42"/>
      <c r="G16" s="42"/>
      <c r="H16" s="130"/>
      <c r="I16" s="131"/>
      <c r="J16" s="92"/>
    </row>
    <row r="17" spans="1:11" ht="12">
      <c r="A17" s="17" t="s">
        <v>103</v>
      </c>
      <c r="B17" s="49" t="s">
        <v>91</v>
      </c>
      <c r="C17" s="60">
        <f>'2. Payroll Worksheet'!J22</f>
        <v>454405.38620000007</v>
      </c>
      <c r="D17" s="72">
        <f>'2. Payroll Worksheet'!J7+'2. Payroll Worksheet'!J8+'2. Payroll Worksheet'!J12+'2. Payroll Worksheet'!J14</f>
        <v>188062.69090000002</v>
      </c>
      <c r="E17" s="73">
        <f>'2. Payroll Worksheet'!J10</f>
        <v>46780.23535</v>
      </c>
      <c r="F17" s="73">
        <f>'2. Payroll Worksheet'!J9+'2. Payroll Worksheet'!J11</f>
        <v>143968.52135</v>
      </c>
      <c r="G17" s="73">
        <f>'2. Payroll Worksheet'!J13+'2. Payroll Worksheet'!J15</f>
        <v>75593.93860000001</v>
      </c>
      <c r="H17" s="84">
        <f aca="true" t="shared" si="4" ref="H17:H49">SUM(D17:G17)</f>
        <v>454405.3862</v>
      </c>
      <c r="I17" s="83" t="str">
        <f aca="true" t="shared" si="5" ref="I17:I50">IF(C17=H17,"All Allocated","Incomplete")</f>
        <v>All Allocated</v>
      </c>
      <c r="J17" s="79">
        <f aca="true" t="shared" si="6" ref="J17:J49">C17-H17</f>
        <v>0</v>
      </c>
      <c r="K17" s="124"/>
    </row>
    <row r="18" spans="1:11" ht="12">
      <c r="A18" s="17" t="s">
        <v>104</v>
      </c>
      <c r="B18" s="49" t="s">
        <v>4</v>
      </c>
      <c r="C18" s="60">
        <f>(C17/52)*4*0.175</f>
        <v>6116.995583461539</v>
      </c>
      <c r="D18" s="72">
        <f>(D17/52)*4*0.175</f>
        <v>2531.613146730769</v>
      </c>
      <c r="E18" s="73">
        <f>(E17/52)*4*0.175</f>
        <v>629.7339374038461</v>
      </c>
      <c r="F18" s="73">
        <f>(F17/52)*4*0.175</f>
        <v>1938.037787403846</v>
      </c>
      <c r="G18" s="73">
        <f>(G17/52)*4*0.175</f>
        <v>1017.610711923077</v>
      </c>
      <c r="H18" s="84">
        <f t="shared" si="4"/>
        <v>6116.995583461538</v>
      </c>
      <c r="I18" s="83" t="str">
        <f t="shared" si="5"/>
        <v>All Allocated</v>
      </c>
      <c r="J18" s="79">
        <f t="shared" si="6"/>
        <v>0</v>
      </c>
      <c r="K18" s="124"/>
    </row>
    <row r="19" spans="1:11" ht="12">
      <c r="A19" s="17" t="s">
        <v>105</v>
      </c>
      <c r="B19" s="49" t="s">
        <v>5</v>
      </c>
      <c r="C19" s="60">
        <f>'2. Payroll Worksheet'!K22</f>
        <v>40431.529638000015</v>
      </c>
      <c r="D19" s="72">
        <f>'2. Payroll Worksheet'!K7+'2. Payroll Worksheet'!K8+'2. Payroll Worksheet'!K12+'2. Payroll Worksheet'!K14</f>
        <v>16752.198141</v>
      </c>
      <c r="E19" s="73">
        <f>'2. Payroll Worksheet'!K10</f>
        <v>4155.6619215</v>
      </c>
      <c r="F19" s="73">
        <f>'2. Payroll Worksheet'!K9+'2. Payroll Worksheet'!K11</f>
        <v>12789.2580615</v>
      </c>
      <c r="G19" s="73">
        <f>'2. Payroll Worksheet'!K13+'2. Payroll Worksheet'!K15</f>
        <v>6734.411514000001</v>
      </c>
      <c r="H19" s="84">
        <f t="shared" si="4"/>
        <v>40431.529638</v>
      </c>
      <c r="I19" s="83" t="str">
        <f t="shared" si="5"/>
        <v>All Allocated</v>
      </c>
      <c r="J19" s="79">
        <f t="shared" si="6"/>
        <v>0</v>
      </c>
      <c r="K19" s="124"/>
    </row>
    <row r="20" spans="1:11" ht="12">
      <c r="A20" s="17" t="s">
        <v>106</v>
      </c>
      <c r="B20" s="49" t="s">
        <v>6</v>
      </c>
      <c r="C20" s="60">
        <f>C17*0.018</f>
        <v>8179.2969516</v>
      </c>
      <c r="D20" s="72">
        <f>D17*0.018</f>
        <v>3385.1284362</v>
      </c>
      <c r="E20" s="73">
        <f>E17*0.018</f>
        <v>842.0442363</v>
      </c>
      <c r="F20" s="73">
        <f>F17*0.018</f>
        <v>2591.4333843</v>
      </c>
      <c r="G20" s="73">
        <f>G17*0.018</f>
        <v>1360.6908948</v>
      </c>
      <c r="H20" s="84">
        <f t="shared" si="4"/>
        <v>8179.296951599999</v>
      </c>
      <c r="I20" s="83" t="str">
        <f t="shared" si="5"/>
        <v>All Allocated</v>
      </c>
      <c r="J20" s="79">
        <f t="shared" si="6"/>
        <v>0</v>
      </c>
      <c r="K20" s="124"/>
    </row>
    <row r="21" spans="1:11" ht="12">
      <c r="A21" s="17" t="s">
        <v>107</v>
      </c>
      <c r="B21" s="49" t="s">
        <v>7</v>
      </c>
      <c r="C21" s="60">
        <f>C17*0.05</f>
        <v>22720.269310000003</v>
      </c>
      <c r="D21" s="72">
        <f>C21*'1. Income Driver Worksheet'!$C$3</f>
        <v>9411.178014034003</v>
      </c>
      <c r="E21" s="73">
        <f>C21*'1. Income Driver Worksheet'!$C$4</f>
        <v>2317.67816763524</v>
      </c>
      <c r="F21" s="73">
        <f>C21*'1. Income Driver Worksheet'!$C$5</f>
        <v>7198.848854018548</v>
      </c>
      <c r="G21" s="73">
        <f>C21*'1. Income Driver Worksheet'!$C$6</f>
        <v>3792.564274312211</v>
      </c>
      <c r="H21" s="84">
        <f t="shared" si="4"/>
        <v>22720.269310000003</v>
      </c>
      <c r="I21" s="83" t="str">
        <f t="shared" si="5"/>
        <v>All Allocated</v>
      </c>
      <c r="J21" s="79">
        <f t="shared" si="6"/>
        <v>0</v>
      </c>
      <c r="K21" s="124"/>
    </row>
    <row r="22" spans="1:11" ht="12">
      <c r="A22" s="17" t="s">
        <v>109</v>
      </c>
      <c r="B22" s="49" t="s">
        <v>8</v>
      </c>
      <c r="C22" s="67">
        <v>5000</v>
      </c>
      <c r="D22" s="72">
        <f>C22*'1. Income Driver Worksheet'!$C$3</f>
        <v>2071.097372488408</v>
      </c>
      <c r="E22" s="73">
        <f>C22*'1. Income Driver Worksheet'!$C$4</f>
        <v>510.0463678516229</v>
      </c>
      <c r="F22" s="73">
        <f>C22*'1. Income Driver Worksheet'!$C$5</f>
        <v>1584.2349304482225</v>
      </c>
      <c r="G22" s="73">
        <f>C22*'1. Income Driver Worksheet'!$C$6</f>
        <v>834.6213292117466</v>
      </c>
      <c r="H22" s="84">
        <f>SUM(D22:G22)</f>
        <v>5000</v>
      </c>
      <c r="I22" s="83" t="str">
        <f>IF(C22=H22,"All Allocated","Incomplete")</f>
        <v>All Allocated</v>
      </c>
      <c r="J22" s="79">
        <f>C22-H22</f>
        <v>0</v>
      </c>
      <c r="K22" s="124"/>
    </row>
    <row r="23" spans="1:11" ht="12">
      <c r="A23" s="17" t="s">
        <v>110</v>
      </c>
      <c r="B23" s="49" t="s">
        <v>9</v>
      </c>
      <c r="C23" s="67">
        <v>1000</v>
      </c>
      <c r="D23" s="72">
        <f>C23*'1. Income Driver Worksheet'!$C$3</f>
        <v>414.2194744976816</v>
      </c>
      <c r="E23" s="73">
        <f>C23*'1. Income Driver Worksheet'!$C$4</f>
        <v>102.00927357032458</v>
      </c>
      <c r="F23" s="73">
        <f>C23*'1. Income Driver Worksheet'!$C$5</f>
        <v>316.84698608964453</v>
      </c>
      <c r="G23" s="73">
        <f>C23*'1. Income Driver Worksheet'!$C$6</f>
        <v>166.9242658423493</v>
      </c>
      <c r="H23" s="84">
        <f t="shared" si="4"/>
        <v>1000</v>
      </c>
      <c r="I23" s="83" t="str">
        <f t="shared" si="5"/>
        <v>All Allocated</v>
      </c>
      <c r="J23" s="79">
        <f t="shared" si="6"/>
        <v>0</v>
      </c>
      <c r="K23" s="124"/>
    </row>
    <row r="24" spans="1:11" ht="12">
      <c r="A24" s="17" t="s">
        <v>111</v>
      </c>
      <c r="B24" s="49" t="s">
        <v>108</v>
      </c>
      <c r="C24" s="67">
        <v>10000</v>
      </c>
      <c r="D24" s="72">
        <f>C24*'1. Income Driver Worksheet'!$C$3</f>
        <v>4142.194744976816</v>
      </c>
      <c r="E24" s="73">
        <f>C24*'1. Income Driver Worksheet'!$C$4</f>
        <v>1020.0927357032458</v>
      </c>
      <c r="F24" s="73">
        <f>C24*'1. Income Driver Worksheet'!$C$5</f>
        <v>3168.469860896445</v>
      </c>
      <c r="G24" s="73">
        <f>C24*'1. Income Driver Worksheet'!$C$6</f>
        <v>1669.2426584234931</v>
      </c>
      <c r="H24" s="84">
        <f t="shared" si="4"/>
        <v>10000</v>
      </c>
      <c r="I24" s="83" t="str">
        <f t="shared" si="5"/>
        <v>All Allocated</v>
      </c>
      <c r="J24" s="79">
        <f t="shared" si="6"/>
        <v>0</v>
      </c>
      <c r="K24" s="124"/>
    </row>
    <row r="25" spans="1:11" ht="12">
      <c r="A25" s="17" t="s">
        <v>113</v>
      </c>
      <c r="B25" s="49" t="s">
        <v>10</v>
      </c>
      <c r="C25" s="67">
        <v>8000</v>
      </c>
      <c r="D25" s="72">
        <f>C25*'1. Income Driver Worksheet'!$C$3</f>
        <v>3313.7557959814526</v>
      </c>
      <c r="E25" s="73">
        <f>C25*'1. Income Driver Worksheet'!$C$4</f>
        <v>816.0741885625966</v>
      </c>
      <c r="F25" s="73">
        <f>C25*'1. Income Driver Worksheet'!$C$5</f>
        <v>2534.7758887171562</v>
      </c>
      <c r="G25" s="73">
        <f>C25*'1. Income Driver Worksheet'!$C$6</f>
        <v>1335.3941267387945</v>
      </c>
      <c r="H25" s="84">
        <f t="shared" si="4"/>
        <v>8000</v>
      </c>
      <c r="I25" s="83" t="str">
        <f t="shared" si="5"/>
        <v>All Allocated</v>
      </c>
      <c r="J25" s="79">
        <f t="shared" si="6"/>
        <v>0</v>
      </c>
      <c r="K25" s="124"/>
    </row>
    <row r="26" spans="1:11" ht="12">
      <c r="A26" s="17" t="s">
        <v>114</v>
      </c>
      <c r="B26" s="49" t="s">
        <v>29</v>
      </c>
      <c r="C26" s="67">
        <v>5000</v>
      </c>
      <c r="D26" s="72">
        <f>C26*'1. Income Driver Worksheet'!$C$3</f>
        <v>2071.097372488408</v>
      </c>
      <c r="E26" s="73">
        <f>C26*'1. Income Driver Worksheet'!$C$4</f>
        <v>510.0463678516229</v>
      </c>
      <c r="F26" s="73">
        <f>C26*'1. Income Driver Worksheet'!$C$5</f>
        <v>1584.2349304482225</v>
      </c>
      <c r="G26" s="73">
        <f>C26*'1. Income Driver Worksheet'!$C$6</f>
        <v>834.6213292117466</v>
      </c>
      <c r="H26" s="84">
        <f t="shared" si="4"/>
        <v>5000</v>
      </c>
      <c r="I26" s="83" t="str">
        <f t="shared" si="5"/>
        <v>All Allocated</v>
      </c>
      <c r="J26" s="79">
        <f t="shared" si="6"/>
        <v>0</v>
      </c>
      <c r="K26" s="124"/>
    </row>
    <row r="27" spans="1:11" ht="12">
      <c r="A27" s="17" t="s">
        <v>115</v>
      </c>
      <c r="B27" s="49" t="s">
        <v>112</v>
      </c>
      <c r="C27" s="67">
        <v>6500</v>
      </c>
      <c r="D27" s="72">
        <f>C27*'1. Income Driver Worksheet'!$C$3</f>
        <v>2692.4265842349305</v>
      </c>
      <c r="E27" s="73">
        <f>C27*'1. Income Driver Worksheet'!$C$4</f>
        <v>663.0602782071097</v>
      </c>
      <c r="F27" s="73">
        <f>C27*'1. Income Driver Worksheet'!$C$5</f>
        <v>2059.5054095826895</v>
      </c>
      <c r="G27" s="73">
        <f>C27*'1. Income Driver Worksheet'!$C$6</f>
        <v>1085.0077279752707</v>
      </c>
      <c r="H27" s="84">
        <f t="shared" si="4"/>
        <v>6500</v>
      </c>
      <c r="I27" s="83" t="str">
        <f t="shared" si="5"/>
        <v>All Allocated</v>
      </c>
      <c r="J27" s="79">
        <f t="shared" si="6"/>
        <v>0</v>
      </c>
      <c r="K27" s="124"/>
    </row>
    <row r="28" spans="1:11" ht="12">
      <c r="A28" s="17" t="s">
        <v>116</v>
      </c>
      <c r="B28" s="49" t="s">
        <v>11</v>
      </c>
      <c r="C28" s="67">
        <v>800</v>
      </c>
      <c r="D28" s="72">
        <f>C28*'1. Income Driver Worksheet'!$C$3</f>
        <v>331.3755795981453</v>
      </c>
      <c r="E28" s="73">
        <f>C28*'1. Income Driver Worksheet'!$C$4</f>
        <v>81.60741885625966</v>
      </c>
      <c r="F28" s="73">
        <f>C28*'1. Income Driver Worksheet'!$C$5</f>
        <v>253.4775888717156</v>
      </c>
      <c r="G28" s="73">
        <f>C28*'1. Income Driver Worksheet'!$C$6</f>
        <v>133.53941267387944</v>
      </c>
      <c r="H28" s="84">
        <f t="shared" si="4"/>
        <v>800</v>
      </c>
      <c r="I28" s="83" t="str">
        <f t="shared" si="5"/>
        <v>All Allocated</v>
      </c>
      <c r="J28" s="79">
        <f t="shared" si="6"/>
        <v>0</v>
      </c>
      <c r="K28" s="124"/>
    </row>
    <row r="29" spans="1:11" ht="12">
      <c r="A29" s="17" t="s">
        <v>117</v>
      </c>
      <c r="B29" s="49" t="s">
        <v>12</v>
      </c>
      <c r="C29" s="67">
        <v>1200</v>
      </c>
      <c r="D29" s="72">
        <f>C29*'1. Income Driver Worksheet'!$C$3</f>
        <v>497.0633693972179</v>
      </c>
      <c r="E29" s="73">
        <f>C29*'1. Income Driver Worksheet'!$C$4</f>
        <v>122.41112828438949</v>
      </c>
      <c r="F29" s="73">
        <f>C29*'1. Income Driver Worksheet'!$C$5</f>
        <v>380.21638330757344</v>
      </c>
      <c r="G29" s="73">
        <f>C29*'1. Income Driver Worksheet'!$C$6</f>
        <v>200.3091190108192</v>
      </c>
      <c r="H29" s="84">
        <f t="shared" si="4"/>
        <v>1200</v>
      </c>
      <c r="I29" s="83" t="str">
        <f t="shared" si="5"/>
        <v>All Allocated</v>
      </c>
      <c r="J29" s="79">
        <f t="shared" si="6"/>
        <v>0</v>
      </c>
      <c r="K29" s="124"/>
    </row>
    <row r="30" spans="1:11" ht="12">
      <c r="A30" s="17" t="s">
        <v>118</v>
      </c>
      <c r="B30" s="49" t="s">
        <v>13</v>
      </c>
      <c r="C30" s="67">
        <v>1800</v>
      </c>
      <c r="D30" s="72">
        <f>C30*'1. Income Driver Worksheet'!$C$3</f>
        <v>745.5950540958269</v>
      </c>
      <c r="E30" s="73">
        <f>C30*'1. Income Driver Worksheet'!$C$4</f>
        <v>183.61669242658425</v>
      </c>
      <c r="F30" s="73">
        <f>C30*'1. Income Driver Worksheet'!$C$5</f>
        <v>570.3245749613601</v>
      </c>
      <c r="G30" s="73">
        <f>C30*'1. Income Driver Worksheet'!$C$6</f>
        <v>300.46367851622875</v>
      </c>
      <c r="H30" s="84">
        <f t="shared" si="4"/>
        <v>1800</v>
      </c>
      <c r="I30" s="83" t="str">
        <f t="shared" si="5"/>
        <v>All Allocated</v>
      </c>
      <c r="J30" s="79">
        <f t="shared" si="6"/>
        <v>0</v>
      </c>
      <c r="K30" s="124"/>
    </row>
    <row r="31" spans="1:11" ht="12">
      <c r="A31" s="17" t="s">
        <v>119</v>
      </c>
      <c r="B31" s="49" t="s">
        <v>15</v>
      </c>
      <c r="C31" s="67">
        <v>2500</v>
      </c>
      <c r="D31" s="72">
        <f>C31*'1. Income Driver Worksheet'!$C$3</f>
        <v>1035.548686244204</v>
      </c>
      <c r="E31" s="73">
        <f>C31*'1. Income Driver Worksheet'!$C$4</f>
        <v>255.02318392581145</v>
      </c>
      <c r="F31" s="73">
        <f>C31*'1. Income Driver Worksheet'!$C$5</f>
        <v>792.1174652241112</v>
      </c>
      <c r="G31" s="73">
        <f>C31*'1. Income Driver Worksheet'!$C$6</f>
        <v>417.3106646058733</v>
      </c>
      <c r="H31" s="84">
        <f t="shared" si="4"/>
        <v>2500</v>
      </c>
      <c r="I31" s="83" t="str">
        <f t="shared" si="5"/>
        <v>All Allocated</v>
      </c>
      <c r="J31" s="79">
        <f t="shared" si="6"/>
        <v>0</v>
      </c>
      <c r="K31" s="124"/>
    </row>
    <row r="32" spans="1:11" ht="12">
      <c r="A32" s="17" t="s">
        <v>120</v>
      </c>
      <c r="B32" s="49" t="s">
        <v>124</v>
      </c>
      <c r="C32" s="67">
        <v>3000</v>
      </c>
      <c r="D32" s="72">
        <f>C32*'1. Income Driver Worksheet'!$C$3</f>
        <v>1242.658423493045</v>
      </c>
      <c r="E32" s="73">
        <f>C32*'1. Income Driver Worksheet'!$C$4</f>
        <v>306.02782071097374</v>
      </c>
      <c r="F32" s="73">
        <f>C32*'1. Income Driver Worksheet'!$C$5</f>
        <v>950.5409582689335</v>
      </c>
      <c r="G32" s="73">
        <f>C32*'1. Income Driver Worksheet'!$C$6</f>
        <v>500.77279752704794</v>
      </c>
      <c r="H32" s="84">
        <f t="shared" si="4"/>
        <v>3000</v>
      </c>
      <c r="I32" s="83" t="str">
        <f t="shared" si="5"/>
        <v>All Allocated</v>
      </c>
      <c r="J32" s="79">
        <f t="shared" si="6"/>
        <v>0</v>
      </c>
      <c r="K32" s="124"/>
    </row>
    <row r="33" spans="1:11" ht="12">
      <c r="A33" s="17" t="s">
        <v>121</v>
      </c>
      <c r="B33" s="49" t="s">
        <v>16</v>
      </c>
      <c r="C33" s="67">
        <v>1000</v>
      </c>
      <c r="D33" s="72">
        <f>C33*'1. Income Driver Worksheet'!$C$3</f>
        <v>414.2194744976816</v>
      </c>
      <c r="E33" s="73">
        <f>C33*'1. Income Driver Worksheet'!$C$4</f>
        <v>102.00927357032458</v>
      </c>
      <c r="F33" s="73">
        <f>C33*'1. Income Driver Worksheet'!$C$5</f>
        <v>316.84698608964453</v>
      </c>
      <c r="G33" s="73">
        <f>C33*'1. Income Driver Worksheet'!$C$6</f>
        <v>166.9242658423493</v>
      </c>
      <c r="H33" s="84">
        <f t="shared" si="4"/>
        <v>1000</v>
      </c>
      <c r="I33" s="83" t="str">
        <f t="shared" si="5"/>
        <v>All Allocated</v>
      </c>
      <c r="J33" s="79">
        <f t="shared" si="6"/>
        <v>0</v>
      </c>
      <c r="K33" s="124"/>
    </row>
    <row r="34" spans="1:11" ht="12">
      <c r="A34" s="17" t="s">
        <v>122</v>
      </c>
      <c r="B34" s="49" t="s">
        <v>125</v>
      </c>
      <c r="C34" s="67">
        <v>2000</v>
      </c>
      <c r="D34" s="72">
        <f>C34*'1. Income Driver Worksheet'!$C$3</f>
        <v>828.4389489953631</v>
      </c>
      <c r="E34" s="73">
        <f>C34*'1. Income Driver Worksheet'!$C$4</f>
        <v>204.01854714064916</v>
      </c>
      <c r="F34" s="73">
        <f>C34*'1. Income Driver Worksheet'!$C$5</f>
        <v>633.6939721792891</v>
      </c>
      <c r="G34" s="73">
        <f>C34*'1. Income Driver Worksheet'!$C$6</f>
        <v>333.8485316846986</v>
      </c>
      <c r="H34" s="84">
        <f t="shared" si="4"/>
        <v>2000</v>
      </c>
      <c r="I34" s="83" t="str">
        <f t="shared" si="5"/>
        <v>All Allocated</v>
      </c>
      <c r="J34" s="79">
        <f t="shared" si="6"/>
        <v>0</v>
      </c>
      <c r="K34" s="124"/>
    </row>
    <row r="35" spans="1:11" ht="12">
      <c r="A35" s="17" t="s">
        <v>123</v>
      </c>
      <c r="B35" s="49" t="s">
        <v>17</v>
      </c>
      <c r="C35" s="67">
        <v>1363</v>
      </c>
      <c r="D35" s="72">
        <f>C35*'1. Income Driver Worksheet'!$C$3</f>
        <v>564.58114374034</v>
      </c>
      <c r="E35" s="73">
        <f>C35*'1. Income Driver Worksheet'!$C$4</f>
        <v>139.0386398763524</v>
      </c>
      <c r="F35" s="73">
        <f>C35*'1. Income Driver Worksheet'!$C$5</f>
        <v>431.86244204018544</v>
      </c>
      <c r="G35" s="73">
        <f>C35*'1. Income Driver Worksheet'!$C$6</f>
        <v>227.5177743431221</v>
      </c>
      <c r="H35" s="84">
        <f t="shared" si="4"/>
        <v>1362.9999999999998</v>
      </c>
      <c r="I35" s="83" t="str">
        <f t="shared" si="5"/>
        <v>All Allocated</v>
      </c>
      <c r="J35" s="79">
        <f t="shared" si="6"/>
        <v>0</v>
      </c>
      <c r="K35" s="124"/>
    </row>
    <row r="36" spans="1:11" ht="12">
      <c r="A36" s="17" t="s">
        <v>126</v>
      </c>
      <c r="B36" s="49" t="s">
        <v>18</v>
      </c>
      <c r="C36" s="67">
        <v>5000</v>
      </c>
      <c r="D36" s="72">
        <f>C36*'1. Income Driver Worksheet'!$C$3</f>
        <v>2071.097372488408</v>
      </c>
      <c r="E36" s="73">
        <f>C36*'1. Income Driver Worksheet'!$C$4</f>
        <v>510.0463678516229</v>
      </c>
      <c r="F36" s="73">
        <f>C36*'1. Income Driver Worksheet'!$C$5</f>
        <v>1584.2349304482225</v>
      </c>
      <c r="G36" s="73">
        <f>C36*'1. Income Driver Worksheet'!$C$6</f>
        <v>834.6213292117466</v>
      </c>
      <c r="H36" s="84">
        <f t="shared" si="4"/>
        <v>5000</v>
      </c>
      <c r="I36" s="83" t="str">
        <f t="shared" si="5"/>
        <v>All Allocated</v>
      </c>
      <c r="J36" s="79">
        <f t="shared" si="6"/>
        <v>0</v>
      </c>
      <c r="K36" s="124"/>
    </row>
    <row r="37" spans="1:11" ht="12">
      <c r="A37" s="17" t="s">
        <v>127</v>
      </c>
      <c r="B37" s="49" t="s">
        <v>19</v>
      </c>
      <c r="C37" s="67">
        <v>2500</v>
      </c>
      <c r="D37" s="72">
        <f>C37*'1. Income Driver Worksheet'!$C$3</f>
        <v>1035.548686244204</v>
      </c>
      <c r="E37" s="73">
        <f>C37*'1. Income Driver Worksheet'!$C$4</f>
        <v>255.02318392581145</v>
      </c>
      <c r="F37" s="73">
        <f>C37*'1. Income Driver Worksheet'!$C$5</f>
        <v>792.1174652241112</v>
      </c>
      <c r="G37" s="73">
        <f>C37*'1. Income Driver Worksheet'!$C$6</f>
        <v>417.3106646058733</v>
      </c>
      <c r="H37" s="84">
        <f t="shared" si="4"/>
        <v>2500</v>
      </c>
      <c r="I37" s="83" t="str">
        <f t="shared" si="5"/>
        <v>All Allocated</v>
      </c>
      <c r="J37" s="79">
        <f t="shared" si="6"/>
        <v>0</v>
      </c>
      <c r="K37" s="124"/>
    </row>
    <row r="38" spans="1:11" ht="12">
      <c r="A38" s="17" t="s">
        <v>128</v>
      </c>
      <c r="B38" s="49" t="s">
        <v>20</v>
      </c>
      <c r="C38" s="67">
        <v>3000</v>
      </c>
      <c r="D38" s="72">
        <f>C38*'1. Income Driver Worksheet'!$C$3</f>
        <v>1242.658423493045</v>
      </c>
      <c r="E38" s="73">
        <f>C38*'1. Income Driver Worksheet'!$C$4</f>
        <v>306.02782071097374</v>
      </c>
      <c r="F38" s="73">
        <f>C38*'1. Income Driver Worksheet'!$C$5</f>
        <v>950.5409582689335</v>
      </c>
      <c r="G38" s="73">
        <f>C38*'1. Income Driver Worksheet'!$C$6</f>
        <v>500.77279752704794</v>
      </c>
      <c r="H38" s="84">
        <f t="shared" si="4"/>
        <v>3000</v>
      </c>
      <c r="I38" s="83" t="str">
        <f t="shared" si="5"/>
        <v>All Allocated</v>
      </c>
      <c r="J38" s="79">
        <f t="shared" si="6"/>
        <v>0</v>
      </c>
      <c r="K38" s="124"/>
    </row>
    <row r="39" spans="1:11" ht="12">
      <c r="A39" s="17" t="s">
        <v>129</v>
      </c>
      <c r="B39" s="49" t="s">
        <v>21</v>
      </c>
      <c r="C39" s="67">
        <v>12000</v>
      </c>
      <c r="D39" s="72">
        <f>C39*'1. Income Driver Worksheet'!$C$3</f>
        <v>4970.63369397218</v>
      </c>
      <c r="E39" s="73">
        <f>C39*'1. Income Driver Worksheet'!$C$4</f>
        <v>1224.111282843895</v>
      </c>
      <c r="F39" s="73">
        <f>C39*'1. Income Driver Worksheet'!$C$5</f>
        <v>3802.163833075734</v>
      </c>
      <c r="G39" s="73">
        <f>C39*'1. Income Driver Worksheet'!$C$6</f>
        <v>2003.0911901081918</v>
      </c>
      <c r="H39" s="84">
        <f t="shared" si="4"/>
        <v>12000</v>
      </c>
      <c r="I39" s="83" t="str">
        <f t="shared" si="5"/>
        <v>All Allocated</v>
      </c>
      <c r="J39" s="79">
        <f t="shared" si="6"/>
        <v>0</v>
      </c>
      <c r="K39" s="124"/>
    </row>
    <row r="40" spans="1:11" ht="12">
      <c r="A40" s="17" t="s">
        <v>130</v>
      </c>
      <c r="B40" s="49" t="s">
        <v>22</v>
      </c>
      <c r="C40" s="67">
        <v>5000</v>
      </c>
      <c r="D40" s="72">
        <f>C40*'1. Income Driver Worksheet'!$C$3</f>
        <v>2071.097372488408</v>
      </c>
      <c r="E40" s="73">
        <f>C40*'1. Income Driver Worksheet'!$C$4</f>
        <v>510.0463678516229</v>
      </c>
      <c r="F40" s="73">
        <f>C40*'1. Income Driver Worksheet'!$C$5</f>
        <v>1584.2349304482225</v>
      </c>
      <c r="G40" s="73">
        <f>C40*'1. Income Driver Worksheet'!$C$6</f>
        <v>834.6213292117466</v>
      </c>
      <c r="H40" s="84">
        <f t="shared" si="4"/>
        <v>5000</v>
      </c>
      <c r="I40" s="83" t="str">
        <f t="shared" si="5"/>
        <v>All Allocated</v>
      </c>
      <c r="J40" s="79">
        <f t="shared" si="6"/>
        <v>0</v>
      </c>
      <c r="K40" s="124"/>
    </row>
    <row r="41" spans="1:11" ht="12">
      <c r="A41" s="17" t="s">
        <v>131</v>
      </c>
      <c r="B41" s="49" t="s">
        <v>23</v>
      </c>
      <c r="C41" s="67">
        <v>8500</v>
      </c>
      <c r="D41" s="72">
        <f>C41*'1. Income Driver Worksheet'!$C$3</f>
        <v>3520.8655332302937</v>
      </c>
      <c r="E41" s="73">
        <f>C41*'1. Income Driver Worksheet'!$C$4</f>
        <v>867.0788253477589</v>
      </c>
      <c r="F41" s="73">
        <f>C41*'1. Income Driver Worksheet'!$C$5</f>
        <v>2693.199381761978</v>
      </c>
      <c r="G41" s="73">
        <f>C41*'1. Income Driver Worksheet'!$C$6</f>
        <v>1418.8562596599693</v>
      </c>
      <c r="H41" s="84">
        <f t="shared" si="4"/>
        <v>8500</v>
      </c>
      <c r="I41" s="83" t="str">
        <f t="shared" si="5"/>
        <v>All Allocated</v>
      </c>
      <c r="J41" s="79">
        <f t="shared" si="6"/>
        <v>0</v>
      </c>
      <c r="K41" s="124"/>
    </row>
    <row r="42" spans="1:11" ht="12">
      <c r="A42" s="17" t="s">
        <v>132</v>
      </c>
      <c r="B42" s="49" t="s">
        <v>24</v>
      </c>
      <c r="C42" s="67">
        <v>4600</v>
      </c>
      <c r="D42" s="72">
        <f>C42*'1. Income Driver Worksheet'!$C$3</f>
        <v>1905.4095826893354</v>
      </c>
      <c r="E42" s="73">
        <f>C42*'1. Income Driver Worksheet'!$C$4</f>
        <v>469.242658423493</v>
      </c>
      <c r="F42" s="73">
        <f>C42*'1. Income Driver Worksheet'!$C$5</f>
        <v>1457.4961360123648</v>
      </c>
      <c r="G42" s="73">
        <f>C42*'1. Income Driver Worksheet'!$C$6</f>
        <v>767.8516228748068</v>
      </c>
      <c r="H42" s="84">
        <f t="shared" si="4"/>
        <v>4600</v>
      </c>
      <c r="I42" s="83" t="str">
        <f t="shared" si="5"/>
        <v>All Allocated</v>
      </c>
      <c r="J42" s="79">
        <f t="shared" si="6"/>
        <v>0</v>
      </c>
      <c r="K42" s="124"/>
    </row>
    <row r="43" spans="1:11" ht="12">
      <c r="A43" s="17" t="s">
        <v>133</v>
      </c>
      <c r="B43" s="49" t="s">
        <v>25</v>
      </c>
      <c r="C43" s="67">
        <v>2000</v>
      </c>
      <c r="D43" s="72">
        <f>C43*'1. Income Driver Worksheet'!$C$3</f>
        <v>828.4389489953631</v>
      </c>
      <c r="E43" s="73">
        <f>C43*'1. Income Driver Worksheet'!$C$4</f>
        <v>204.01854714064916</v>
      </c>
      <c r="F43" s="73">
        <f>C43*'1. Income Driver Worksheet'!$C$5</f>
        <v>633.6939721792891</v>
      </c>
      <c r="G43" s="73">
        <f>C43*'1. Income Driver Worksheet'!$C$6</f>
        <v>333.8485316846986</v>
      </c>
      <c r="H43" s="84">
        <f t="shared" si="4"/>
        <v>2000</v>
      </c>
      <c r="I43" s="83" t="str">
        <f t="shared" si="5"/>
        <v>All Allocated</v>
      </c>
      <c r="J43" s="79">
        <f t="shared" si="6"/>
        <v>0</v>
      </c>
      <c r="K43" s="124"/>
    </row>
    <row r="44" spans="1:11" ht="12">
      <c r="A44" s="17" t="s">
        <v>134</v>
      </c>
      <c r="B44" s="49" t="s">
        <v>26</v>
      </c>
      <c r="C44" s="67">
        <v>1500</v>
      </c>
      <c r="D44" s="72">
        <f>C44*'1. Income Driver Worksheet'!$C$3</f>
        <v>621.3292117465224</v>
      </c>
      <c r="E44" s="73">
        <f>C44*'1. Income Driver Worksheet'!$C$4</f>
        <v>153.01391035548687</v>
      </c>
      <c r="F44" s="73">
        <f>C44*'1. Income Driver Worksheet'!$C$5</f>
        <v>475.27047913446677</v>
      </c>
      <c r="G44" s="73">
        <f>C44*'1. Income Driver Worksheet'!$C$6</f>
        <v>250.38639876352397</v>
      </c>
      <c r="H44" s="84">
        <f t="shared" si="4"/>
        <v>1500</v>
      </c>
      <c r="I44" s="83" t="str">
        <f t="shared" si="5"/>
        <v>All Allocated</v>
      </c>
      <c r="J44" s="79">
        <f t="shared" si="6"/>
        <v>0</v>
      </c>
      <c r="K44" s="124"/>
    </row>
    <row r="45" spans="1:11" ht="12">
      <c r="A45" s="17" t="s">
        <v>135</v>
      </c>
      <c r="B45" s="49" t="s">
        <v>27</v>
      </c>
      <c r="C45" s="67">
        <v>3500</v>
      </c>
      <c r="D45" s="72">
        <f>C45*'1. Income Driver Worksheet'!$C$3</f>
        <v>1449.7681607418856</v>
      </c>
      <c r="E45" s="73">
        <f>C45*'1. Income Driver Worksheet'!$C$4</f>
        <v>357.03245749613603</v>
      </c>
      <c r="F45" s="73">
        <f>C45*'1. Income Driver Worksheet'!$C$5</f>
        <v>1108.9644513137557</v>
      </c>
      <c r="G45" s="73">
        <f>C45*'1. Income Driver Worksheet'!$C$6</f>
        <v>584.2349304482226</v>
      </c>
      <c r="H45" s="84">
        <f t="shared" si="4"/>
        <v>3500</v>
      </c>
      <c r="I45" s="83" t="str">
        <f t="shared" si="5"/>
        <v>All Allocated</v>
      </c>
      <c r="J45" s="79">
        <f t="shared" si="6"/>
        <v>0</v>
      </c>
      <c r="K45" s="124"/>
    </row>
    <row r="46" spans="1:11" ht="12">
      <c r="A46" s="17" t="s">
        <v>136</v>
      </c>
      <c r="B46" s="49" t="s">
        <v>28</v>
      </c>
      <c r="C46" s="67">
        <v>400</v>
      </c>
      <c r="D46" s="72">
        <f>C46*'1. Income Driver Worksheet'!$C$3</f>
        <v>165.68778979907265</v>
      </c>
      <c r="E46" s="73">
        <f>C46*'1. Income Driver Worksheet'!$C$4</f>
        <v>40.80370942812983</v>
      </c>
      <c r="F46" s="73">
        <f>C46*'1. Income Driver Worksheet'!$C$5</f>
        <v>126.7387944358578</v>
      </c>
      <c r="G46" s="73">
        <f>C46*'1. Income Driver Worksheet'!$C$6</f>
        <v>66.76970633693972</v>
      </c>
      <c r="H46" s="84">
        <f t="shared" si="4"/>
        <v>400</v>
      </c>
      <c r="I46" s="83" t="str">
        <f t="shared" si="5"/>
        <v>All Allocated</v>
      </c>
      <c r="J46" s="79">
        <f t="shared" si="6"/>
        <v>0</v>
      </c>
      <c r="K46" s="124"/>
    </row>
    <row r="47" spans="1:11" ht="12">
      <c r="A47" s="17" t="s">
        <v>137</v>
      </c>
      <c r="B47" s="49" t="s">
        <v>14</v>
      </c>
      <c r="C47" s="67">
        <v>8000</v>
      </c>
      <c r="D47" s="72">
        <f>C47*'1. Income Driver Worksheet'!$C$3</f>
        <v>3313.7557959814526</v>
      </c>
      <c r="E47" s="73">
        <f>C47*'1. Income Driver Worksheet'!$C$4</f>
        <v>816.0741885625966</v>
      </c>
      <c r="F47" s="73">
        <f>C47*'1. Income Driver Worksheet'!$C$5</f>
        <v>2534.7758887171562</v>
      </c>
      <c r="G47" s="73">
        <f>C47*'1. Income Driver Worksheet'!$C$6</f>
        <v>1335.3941267387945</v>
      </c>
      <c r="H47" s="84">
        <f t="shared" si="4"/>
        <v>8000</v>
      </c>
      <c r="I47" s="83" t="str">
        <f t="shared" si="5"/>
        <v>All Allocated</v>
      </c>
      <c r="J47" s="79">
        <f t="shared" si="6"/>
        <v>0</v>
      </c>
      <c r="K47" s="124"/>
    </row>
    <row r="48" spans="1:11" ht="12">
      <c r="A48" s="17"/>
      <c r="B48" s="49"/>
      <c r="C48" s="67"/>
      <c r="D48" s="68"/>
      <c r="E48" s="69"/>
      <c r="F48" s="69"/>
      <c r="G48" s="69"/>
      <c r="H48" s="84">
        <f t="shared" si="4"/>
        <v>0</v>
      </c>
      <c r="I48" s="83" t="str">
        <f t="shared" si="5"/>
        <v>All Allocated</v>
      </c>
      <c r="J48" s="79">
        <f t="shared" si="6"/>
        <v>0</v>
      </c>
      <c r="K48" s="124"/>
    </row>
    <row r="49" spans="1:11" ht="12.75" thickBot="1">
      <c r="A49" s="17"/>
      <c r="B49" s="49"/>
      <c r="C49" s="67"/>
      <c r="D49" s="68"/>
      <c r="E49" s="69"/>
      <c r="F49" s="69"/>
      <c r="G49" s="69"/>
      <c r="H49" s="84">
        <f t="shared" si="4"/>
        <v>0</v>
      </c>
      <c r="I49" s="83" t="str">
        <f t="shared" si="5"/>
        <v>All Allocated</v>
      </c>
      <c r="J49" s="79">
        <f t="shared" si="6"/>
        <v>0</v>
      </c>
      <c r="K49" s="124"/>
    </row>
    <row r="50" spans="1:10" ht="13.5" thickBot="1" thickTop="1">
      <c r="A50" s="43" t="s">
        <v>31</v>
      </c>
      <c r="B50" s="51"/>
      <c r="C50" s="74">
        <f aca="true" t="shared" si="7" ref="C50:H50">SUM(C17:C49)</f>
        <v>637016.4776830616</v>
      </c>
      <c r="D50" s="75">
        <f t="shared" si="7"/>
        <v>263703.37123456446</v>
      </c>
      <c r="E50" s="76">
        <f t="shared" si="7"/>
        <v>65452.95484931514</v>
      </c>
      <c r="F50" s="76">
        <f t="shared" si="7"/>
        <v>201806.67903536776</v>
      </c>
      <c r="G50" s="76">
        <f t="shared" si="7"/>
        <v>106053.4725638143</v>
      </c>
      <c r="H50" s="76">
        <f t="shared" si="7"/>
        <v>637016.4776830615</v>
      </c>
      <c r="I50" s="77" t="str">
        <f t="shared" si="5"/>
        <v>All Allocated</v>
      </c>
      <c r="J50" s="78">
        <f>SUM(J17:J49)</f>
        <v>0</v>
      </c>
    </row>
    <row r="51" spans="1:10" ht="13.5" thickBot="1" thickTop="1">
      <c r="A51" s="37"/>
      <c r="B51" s="50"/>
      <c r="C51" s="57"/>
      <c r="D51" s="38"/>
      <c r="E51" s="39"/>
      <c r="F51" s="39"/>
      <c r="G51" s="39"/>
      <c r="H51" s="89"/>
      <c r="I51" s="90"/>
      <c r="J51" s="91"/>
    </row>
    <row r="52" spans="1:10" ht="13.5" thickBot="1" thickTop="1">
      <c r="A52" s="95" t="s">
        <v>32</v>
      </c>
      <c r="B52" s="96"/>
      <c r="C52" s="93">
        <f aca="true" t="shared" si="8" ref="C52:H52">C14-C50</f>
        <v>12983.522316938383</v>
      </c>
      <c r="D52" s="94">
        <f t="shared" si="8"/>
        <v>5539.287188928574</v>
      </c>
      <c r="E52" s="87">
        <f t="shared" si="8"/>
        <v>853.0729713958426</v>
      </c>
      <c r="F52" s="87">
        <f t="shared" si="8"/>
        <v>4143.861922901182</v>
      </c>
      <c r="G52" s="87">
        <f t="shared" si="8"/>
        <v>2447.3002337127546</v>
      </c>
      <c r="H52" s="87">
        <f t="shared" si="8"/>
        <v>12983.522316938499</v>
      </c>
      <c r="I52" s="88"/>
      <c r="J52" s="81">
        <f>J14-J50</f>
        <v>0</v>
      </c>
    </row>
    <row r="53" spans="1:10" ht="12.75" thickTop="1">
      <c r="A53" s="40" t="s">
        <v>0</v>
      </c>
      <c r="B53" s="54" t="s">
        <v>0</v>
      </c>
      <c r="C53" s="59"/>
      <c r="D53" s="41"/>
      <c r="E53" s="42"/>
      <c r="F53" s="42"/>
      <c r="G53" s="42"/>
      <c r="H53" s="62"/>
      <c r="I53" s="64"/>
      <c r="J53" s="92"/>
    </row>
    <row r="54" spans="1:10" ht="12" thickBot="1">
      <c r="A54" s="18"/>
      <c r="B54" s="55"/>
      <c r="C54" s="61"/>
      <c r="D54" s="34"/>
      <c r="E54" s="34"/>
      <c r="F54" s="34"/>
      <c r="G54" s="34"/>
      <c r="H54" s="34"/>
      <c r="I54" s="65"/>
      <c r="J54" s="65"/>
    </row>
    <row r="55" ht="12" thickTop="1">
      <c r="A55" s="1" t="s">
        <v>44</v>
      </c>
    </row>
    <row r="56" spans="1:8" ht="12.75">
      <c r="A56" s="22"/>
      <c r="B56" t="s">
        <v>138</v>
      </c>
      <c r="H56" s="124"/>
    </row>
    <row r="57" spans="1:2" ht="12.75">
      <c r="A57" s="23"/>
      <c r="B57" t="s">
        <v>46</v>
      </c>
    </row>
    <row r="58" spans="1:8" ht="12.75">
      <c r="A58"/>
      <c r="B58"/>
      <c r="H58" s="124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</sheetData>
  <sheetProtection/>
  <mergeCells count="3">
    <mergeCell ref="A2:J2"/>
    <mergeCell ref="A3:J3"/>
    <mergeCell ref="D5:J5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&amp; Loss</dc:title>
  <dc:subject/>
  <dc:creator>MYOB</dc:creator>
  <cp:keywords/>
  <dc:description/>
  <cp:lastModifiedBy>Wilson</cp:lastModifiedBy>
  <cp:lastPrinted>2010-04-22T20:57:34Z</cp:lastPrinted>
  <dcterms:created xsi:type="dcterms:W3CDTF">1997-08-21T13:25:53Z</dcterms:created>
  <dcterms:modified xsi:type="dcterms:W3CDTF">2010-05-11T02:32:01Z</dcterms:modified>
  <cp:category/>
  <cp:version/>
  <cp:contentType/>
  <cp:contentStatus/>
</cp:coreProperties>
</file>